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3.xml" ContentType="application/vnd.ms-office.chartcolorstyle+xml"/>
  <Override PartName="/xl/charts/style3.xml" ContentType="application/vnd.ms-office.chartstyle+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bookViews>
    <workbookView xWindow="0" yWindow="0" windowWidth="16392" windowHeight="4740" activeTab="5"/>
  </bookViews>
  <sheets>
    <sheet name="MEB" sheetId="9" r:id="rId1"/>
    <sheet name="By Sector" sheetId="10" r:id="rId2"/>
    <sheet name="Dashboard" sheetId="1" r:id="rId3"/>
    <sheet name="Category sub-totals" sheetId="2" r:id="rId4"/>
    <sheet name="Items monthly" sheetId="3" r:id="rId5"/>
    <sheet name="Items one-off" sheetId="5" r:id="rId6"/>
    <sheet name="Graph workings" sheetId="6" state="hidden" r:id="rId7"/>
  </sheets>
  <definedNames>
    <definedName name="_ftn1" localSheetId="5">'Items one-off'!$C$106</definedName>
    <definedName name="_ftnref1" localSheetId="5">'Items one-off'!$G$102</definedName>
    <definedName name="_GoBack" localSheetId="0">'MEB'!#REF!</definedName>
    <definedName name="_Hlk536183221" localSheetId="0">'MEB'!#REF!</definedName>
    <definedName name="_xlnm.Print_Area" localSheetId="0">'MEB'!$A$1:$E$29</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PERONI Jimena</author>
  </authors>
  <commentList>
    <comment ref="D12" authorId="0">
      <text>
        <r>
          <rPr>
            <b/>
            <sz val="9"/>
            <rFont val="Tahoma"/>
            <family val="2"/>
          </rPr>
          <t>PERONI Jimena:</t>
        </r>
        <r>
          <rPr>
            <sz val="9"/>
            <rFont val="Tahoma"/>
            <family val="2"/>
          </rPr>
          <t xml:space="preserve">
Adjustment beyond 5 members need to be revised, sector by sector </t>
        </r>
      </text>
    </comment>
    <comment ref="D26" authorId="0">
      <text>
        <r>
          <rPr>
            <b/>
            <sz val="9"/>
            <rFont val="Tahoma"/>
            <family val="2"/>
          </rPr>
          <t>PERONI Jimena:</t>
        </r>
        <r>
          <rPr>
            <sz val="9"/>
            <rFont val="Tahoma"/>
            <family val="2"/>
          </rPr>
          <t xml:space="preserve">
Adjustment beyond 5 members need to be revised, sector by sector </t>
        </r>
      </text>
    </comment>
  </commentList>
</comments>
</file>

<file path=xl/comments4.xml><?xml version="1.0" encoding="utf-8"?>
<comments xmlns="http://schemas.openxmlformats.org/spreadsheetml/2006/main">
  <authors>
    <author>PERONI Jimena</author>
    <author>Windows User</author>
  </authors>
  <commentList>
    <comment ref="H1" authorId="0">
      <text>
        <r>
          <rPr>
            <b/>
            <sz val="9"/>
            <rFont val="Tahoma"/>
            <family val="2"/>
          </rPr>
          <t>PERONI Jimena:</t>
        </r>
        <r>
          <rPr>
            <sz val="9"/>
            <rFont val="Tahoma"/>
            <family val="2"/>
          </rPr>
          <t xml:space="preserve">
For practitioners at settlement level 
</t>
        </r>
      </text>
    </comment>
    <comment ref="C9" authorId="0">
      <text>
        <r>
          <rPr>
            <b/>
            <sz val="9"/>
            <rFont val="Tahoma"/>
            <family val="2"/>
          </rPr>
          <t>PERONI Jimena:</t>
        </r>
        <r>
          <rPr>
            <sz val="9"/>
            <rFont val="Tahoma"/>
            <family val="2"/>
          </rPr>
          <t xml:space="preserve">
OPP 15% theshold</t>
        </r>
      </text>
    </comment>
    <comment ref="G15" authorId="0">
      <text>
        <r>
          <rPr>
            <b/>
            <sz val="9"/>
            <rFont val="Tahoma"/>
            <family val="2"/>
          </rPr>
          <t>PERONI Jimena:</t>
        </r>
        <r>
          <rPr>
            <sz val="9"/>
            <rFont val="Tahoma"/>
            <family val="2"/>
          </rPr>
          <t xml:space="preserve">
One off and seasonal livelihood was not included as it needs to be part of a targeted response, not included in basic needs </t>
        </r>
      </text>
    </comment>
    <comment ref="A17" authorId="1">
      <text>
        <r>
          <rPr>
            <b/>
            <sz val="9"/>
            <rFont val="Tahoma"/>
            <family val="2"/>
          </rPr>
          <t>Windows User:</t>
        </r>
        <r>
          <rPr>
            <sz val="9"/>
            <rFont val="Tahoma"/>
            <family val="2"/>
          </rPr>
          <t xml:space="preserve">
Other</t>
        </r>
      </text>
    </comment>
    <comment ref="A19" authorId="1">
      <text>
        <r>
          <rPr>
            <b/>
            <sz val="9"/>
            <rFont val="Tahoma"/>
            <family val="2"/>
          </rPr>
          <t>Windows User:</t>
        </r>
        <r>
          <rPr>
            <sz val="9"/>
            <rFont val="Tahoma"/>
            <family val="2"/>
          </rPr>
          <t xml:space="preserve">
Other</t>
        </r>
      </text>
    </comment>
    <comment ref="C27" authorId="1">
      <text>
        <r>
          <rPr>
            <b/>
            <sz val="9"/>
            <rFont val="Tahoma"/>
            <family val="2"/>
          </rPr>
          <t>Windows User:</t>
        </r>
        <r>
          <rPr>
            <sz val="9"/>
            <rFont val="Tahoma"/>
            <family val="2"/>
          </rPr>
          <t xml:space="preserve">
Assessment date provided as an example only
Darft version 0. To be modified incorporating suggestion from the TF on  source of income-in kind aid. So the Food Gap might be higher. Partners should incorporate INCOME DATA at field level </t>
        </r>
      </text>
    </comment>
  </commentList>
</comments>
</file>

<file path=xl/comments5.xml><?xml version="1.0" encoding="utf-8"?>
<comments xmlns="http://schemas.openxmlformats.org/spreadsheetml/2006/main">
  <authors>
    <author>Windows User</author>
    <author>PERONI Jimena</author>
  </authors>
  <commentList>
    <comment ref="F3" authorId="0">
      <text>
        <r>
          <rPr>
            <b/>
            <sz val="9"/>
            <rFont val="Tahoma"/>
            <family val="2"/>
          </rPr>
          <t>Windows User:</t>
        </r>
        <r>
          <rPr>
            <sz val="9"/>
            <rFont val="Tahoma"/>
            <family val="2"/>
          </rPr>
          <t xml:space="preserve">
Possible to remove? Beyond scope of tool and information contained elsewhere?</t>
        </r>
      </text>
    </comment>
    <comment ref="A4" authorId="0">
      <text>
        <r>
          <rPr>
            <b/>
            <sz val="9"/>
            <rFont val="Tahoma"/>
            <family val="2"/>
          </rPr>
          <t>Windows User:</t>
        </r>
        <r>
          <rPr>
            <sz val="9"/>
            <rFont val="Tahoma"/>
            <family val="2"/>
          </rPr>
          <t xml:space="preserve">
NUTVAL table not included as out of scope of tool (can be requested from relevant actors if needed)</t>
        </r>
      </text>
    </comment>
    <comment ref="B12" authorId="0">
      <text>
        <r>
          <rPr>
            <b/>
            <sz val="9"/>
            <rFont val="Tahoma"/>
            <family val="2"/>
          </rPr>
          <t>Windows User:</t>
        </r>
        <r>
          <rPr>
            <sz val="9"/>
            <rFont val="Tahoma"/>
            <family val="2"/>
          </rPr>
          <t xml:space="preserve">
Should this be litres?</t>
        </r>
      </text>
    </comment>
    <comment ref="B22" authorId="0">
      <text>
        <r>
          <rPr>
            <b/>
            <sz val="9"/>
            <rFont val="Tahoma"/>
            <family val="2"/>
          </rPr>
          <t>Windows User:</t>
        </r>
        <r>
          <rPr>
            <sz val="9"/>
            <rFont val="Tahoma"/>
            <family val="2"/>
          </rPr>
          <t xml:space="preserve">
To be combined</t>
        </r>
      </text>
    </comment>
    <comment ref="D22" authorId="1">
      <text>
        <r>
          <rPr>
            <b/>
            <sz val="9"/>
            <rFont val="Tahoma"/>
            <family val="2"/>
          </rPr>
          <t>PERONI Jimena:</t>
        </r>
        <r>
          <rPr>
            <sz val="9"/>
            <rFont val="Tahoma"/>
            <family val="2"/>
          </rPr>
          <t xml:space="preserve">
laundry soap price is used. It needs to be adjusted to antibacterial if needed, and prices are collected in 125 gr frequently, and price by gram is not representative</t>
        </r>
      </text>
    </comment>
    <comment ref="D23" authorId="1">
      <text>
        <r>
          <rPr>
            <b/>
            <sz val="9"/>
            <rFont val="Tahoma"/>
            <family val="2"/>
          </rPr>
          <t>PERONI Jimena:</t>
        </r>
        <r>
          <rPr>
            <sz val="9"/>
            <rFont val="Tahoma"/>
            <family val="2"/>
          </rPr>
          <t xml:space="preserve">
Unit Prices 1000 grm need to be adjusted to the unit is available and accesible at the local markets</t>
        </r>
      </text>
    </comment>
    <comment ref="A92" authorId="0">
      <text>
        <r>
          <rPr>
            <b/>
            <sz val="9"/>
            <rFont val="Tahoma"/>
            <family val="2"/>
          </rPr>
          <t>Windows User:</t>
        </r>
        <r>
          <rPr>
            <sz val="9"/>
            <rFont val="Tahoma"/>
            <family val="2"/>
          </rPr>
          <t xml:space="preserve">
Where would this information come from?</t>
        </r>
      </text>
    </comment>
  </commentList>
</comments>
</file>

<file path=xl/comments6.xml><?xml version="1.0" encoding="utf-8"?>
<comments xmlns="http://schemas.openxmlformats.org/spreadsheetml/2006/main">
  <authors>
    <author>Windows User</author>
    <author>PERONI Jimena</author>
  </authors>
  <commentList>
    <comment ref="F3" authorId="0">
      <text>
        <r>
          <rPr>
            <b/>
            <sz val="9"/>
            <rFont val="Tahoma"/>
            <family val="2"/>
          </rPr>
          <t>Windows User:</t>
        </r>
        <r>
          <rPr>
            <sz val="9"/>
            <rFont val="Tahoma"/>
            <family val="2"/>
          </rPr>
          <t xml:space="preserve">
Possible to remove? Beyond scope of tool and information contained elsewhere?</t>
        </r>
      </text>
    </comment>
    <comment ref="A4" authorId="0">
      <text>
        <r>
          <rPr>
            <b/>
            <sz val="9"/>
            <rFont val="Tahoma"/>
            <family val="2"/>
          </rPr>
          <t>Windows User:</t>
        </r>
        <r>
          <rPr>
            <sz val="9"/>
            <rFont val="Tahoma"/>
            <family val="2"/>
          </rPr>
          <t xml:space="preserve">
NUTVAL table not included as out of scope of tool (can be requested from relevant actors if needed)</t>
        </r>
      </text>
    </comment>
    <comment ref="G36" authorId="1">
      <text>
        <r>
          <rPr>
            <b/>
            <sz val="9"/>
            <rFont val="Tahoma"/>
            <family val="2"/>
          </rPr>
          <t>PERONI Jimena:</t>
        </r>
        <r>
          <rPr>
            <sz val="9"/>
            <rFont val="Tahoma"/>
            <family val="2"/>
          </rPr>
          <t xml:space="preserve">
In general calculations, constructed with average of all settlements, this is 81, 920 UGX</t>
        </r>
      </text>
    </comment>
    <comment ref="A89" authorId="0">
      <text>
        <r>
          <rPr>
            <b/>
            <sz val="9"/>
            <rFont val="Tahoma"/>
            <family val="2"/>
          </rPr>
          <t>Windows User:</t>
        </r>
        <r>
          <rPr>
            <sz val="9"/>
            <rFont val="Tahoma"/>
            <family val="2"/>
          </rPr>
          <t xml:space="preserve">
Where would this information come from?</t>
        </r>
      </text>
    </comment>
  </commentList>
</comments>
</file>

<file path=xl/sharedStrings.xml><?xml version="1.0" encoding="utf-8"?>
<sst xmlns="http://schemas.openxmlformats.org/spreadsheetml/2006/main" count="374" uniqueCount="215">
  <si>
    <t>Crosscutting issues</t>
  </si>
  <si>
    <t xml:space="preserve">Food </t>
  </si>
  <si>
    <t>Hygiene</t>
  </si>
  <si>
    <t>Water</t>
  </si>
  <si>
    <t>Clothing</t>
  </si>
  <si>
    <t xml:space="preserve">Health </t>
  </si>
  <si>
    <t xml:space="preserve">Energy </t>
  </si>
  <si>
    <t xml:space="preserve">Communication </t>
  </si>
  <si>
    <t xml:space="preserve">Transportation </t>
  </si>
  <si>
    <t xml:space="preserve">Protection </t>
  </si>
  <si>
    <t>Education</t>
  </si>
  <si>
    <t>Livelihoods</t>
  </si>
  <si>
    <t>House-hold income</t>
  </si>
  <si>
    <t>One-off</t>
  </si>
  <si>
    <t>In-kind distributions - monthly</t>
  </si>
  <si>
    <t>In-kind distributions - one-off</t>
  </si>
  <si>
    <t>Minimum Expenditure Basket</t>
  </si>
  <si>
    <t>Per month (per household)</t>
  </si>
  <si>
    <t>UGX</t>
  </si>
  <si>
    <t>USD</t>
  </si>
  <si>
    <t>Total</t>
  </si>
  <si>
    <t>Toothpaste</t>
  </si>
  <si>
    <t>HH lighting, phone charging &amp; community lighting- Drycells and solar</t>
  </si>
  <si>
    <t>Item</t>
  </si>
  <si>
    <t>Category</t>
  </si>
  <si>
    <t>Rational</t>
  </si>
  <si>
    <t>Risks mitigated</t>
  </si>
  <si>
    <t>Meets community  priority / preference / behaviour</t>
  </si>
  <si>
    <t>Provided through in-kind</t>
  </si>
  <si>
    <t xml:space="preserve">MEB value </t>
  </si>
  <si>
    <t xml:space="preserve">Electricity access-Monthly utilities </t>
  </si>
  <si>
    <t>Household (HH) size</t>
  </si>
  <si>
    <t>Exchange rate</t>
  </si>
  <si>
    <t>Yes</t>
  </si>
  <si>
    <t>No</t>
  </si>
  <si>
    <t/>
  </si>
  <si>
    <t>Value</t>
  </si>
  <si>
    <t>Based on verification process and field assessment Q3 2018</t>
  </si>
  <si>
    <t>UGX to USD Avarage Jun-Dec 2018. Source: Oanda.com</t>
  </si>
  <si>
    <t>If not known = 5% &lt;3 months / 10% 3-12 months</t>
  </si>
  <si>
    <t>Allowance for inflation during project</t>
  </si>
  <si>
    <t>1x pack</t>
  </si>
  <si>
    <t>75 ml</t>
  </si>
  <si>
    <t>Shampoo</t>
  </si>
  <si>
    <t>Shelter</t>
  </si>
  <si>
    <t>Personal expenditure</t>
  </si>
  <si>
    <t>Household items</t>
  </si>
  <si>
    <t>Blanket</t>
  </si>
  <si>
    <t>Cooking Stoves</t>
  </si>
  <si>
    <t>Solar lamp</t>
  </si>
  <si>
    <t>Mobile phone</t>
  </si>
  <si>
    <t>Debt repayments</t>
  </si>
  <si>
    <t>Provided as example only</t>
  </si>
  <si>
    <t>“Incidence of malaria in the two weeks prior to data collection was found to correlate with household members not sleeping under mosquito nets for both population groups.  (JMSA, 2018) 'These refugees, and others living in settlements with lower LLITNs ownership may be using distributed nets for other purposes such as materials for shelter or tools for agriculture, among other uses. FGD participants in Palorinya, Kyaka, and Boroli settlements (Moyo, Kyegegwa, Adjumani districts respectively) noted that they used mosquito nets for fishing in the river, building fencing for poultry rearing, or creating ropes to maintain shelters.'</t>
  </si>
  <si>
    <t>Key reference information</t>
  </si>
  <si>
    <t>MEB Items One-off</t>
  </si>
  <si>
    <t>Monthly</t>
  </si>
  <si>
    <t>Monthly MEB</t>
  </si>
  <si>
    <t>One-off MEB</t>
  </si>
  <si>
    <t>MAIZE MEAL, WHITE, WHOLE GRAIN (grams)</t>
  </si>
  <si>
    <t>BEANS, KIDNEY, ALL TYPES (grams)</t>
  </si>
  <si>
    <t>SORGHUM, GRAIN (grams)</t>
  </si>
  <si>
    <t>CASSAVA, RAW (grams)</t>
  </si>
  <si>
    <t>SALT, IODISED [WFP] (grams)</t>
  </si>
  <si>
    <t>LEAVES, DARK GREEN, e.g. SPINACH (grams)</t>
  </si>
  <si>
    <t>FISH, DRIED, SALTED (grams)</t>
  </si>
  <si>
    <t>Number of women of reproductive age  per household (HH)</t>
  </si>
  <si>
    <t>Reference for Gap Analysis</t>
  </si>
  <si>
    <t>House-hold own production</t>
  </si>
  <si>
    <t>MEB Dashboard</t>
  </si>
  <si>
    <t>Gap Analysis Dashboard</t>
  </si>
  <si>
    <t>250 ml</t>
  </si>
  <si>
    <t xml:space="preserve">Normative food share (%) </t>
  </si>
  <si>
    <t>Food MEB</t>
  </si>
  <si>
    <t xml:space="preserve">Total MEB Normative </t>
  </si>
  <si>
    <t>Accessible in the market</t>
  </si>
  <si>
    <t>Catagories</t>
  </si>
  <si>
    <t>Value of potential CVA provision</t>
  </si>
  <si>
    <t>Comments on limiting factos</t>
  </si>
  <si>
    <t>General comments</t>
  </si>
  <si>
    <t>Totals</t>
  </si>
  <si>
    <t>Energy &amp; Environment</t>
  </si>
  <si>
    <t>Monthly MEB (UGX)</t>
  </si>
  <si>
    <t>One-off MEB (UGX)</t>
  </si>
  <si>
    <t>Energy &amp; environment</t>
  </si>
  <si>
    <t>Reference point for comparing MEB - Normative food amount for citizens</t>
  </si>
  <si>
    <t>Other</t>
  </si>
  <si>
    <t xml:space="preserve">MEB Key Information </t>
  </si>
  <si>
    <t xml:space="preserve">MEB Sub-Totals </t>
  </si>
  <si>
    <t>Household own production</t>
  </si>
  <si>
    <t>Household income</t>
  </si>
  <si>
    <t>Per Item</t>
  </si>
  <si>
    <t>Method selection</t>
  </si>
  <si>
    <r>
      <t>Sub-total of MEB</t>
    </r>
    <r>
      <rPr>
        <sz val="11"/>
        <color theme="1"/>
        <rFont val="Calibri"/>
        <family val="2"/>
        <scheme val="minor"/>
      </rPr>
      <t xml:space="preserve"> 
Method: per item</t>
    </r>
  </si>
  <si>
    <t>Total value of in-kind provision monthly</t>
  </si>
  <si>
    <t>Total value of in-kind provision one-off</t>
  </si>
  <si>
    <t>CVA is a viable option</t>
  </si>
  <si>
    <t xml:space="preserve">Sufficient assessments have been conducted and show CVA as a viable option </t>
  </si>
  <si>
    <t xml:space="preserve"> CVA as a viable option</t>
  </si>
  <si>
    <t>Further assessments required</t>
  </si>
  <si>
    <t>Female hygiene pads/reusable towels</t>
  </si>
  <si>
    <t>143 UGX per kilo</t>
  </si>
  <si>
    <t>Rent</t>
  </si>
  <si>
    <t>Reusable sanitary pads</t>
  </si>
  <si>
    <t>5 l handwashing</t>
  </si>
  <si>
    <t xml:space="preserve">Value of goods and services households can cater for by themselves. </t>
  </si>
  <si>
    <t>MEB Monthly Expenditures</t>
  </si>
  <si>
    <t xml:space="preserve">Based on NutVal  basket based on higher number of items than food ration costed at local prices. </t>
  </si>
  <si>
    <t xml:space="preserve">% of the total </t>
  </si>
  <si>
    <t xml:space="preserve">Bathing soap (antibacterial) </t>
  </si>
  <si>
    <t>20l Jerrycan</t>
  </si>
  <si>
    <t>Bucket with a lid 15l</t>
  </si>
  <si>
    <t>Hygiene &amp; Water</t>
  </si>
  <si>
    <t>O&amp;M Water fees</t>
  </si>
  <si>
    <t>Yearly Cost by Primary Child</t>
  </si>
  <si>
    <t>Yearly Cost by Secondary Child</t>
  </si>
  <si>
    <t>Cooking energy-firewood 1.1 kg per day per per person</t>
  </si>
  <si>
    <t xml:space="preserve">Transport to health facility/school </t>
  </si>
  <si>
    <t xml:space="preserve">Communication-airtime </t>
  </si>
  <si>
    <t>2.6% of total expenditure</t>
  </si>
  <si>
    <t>6.8% of total expenditure</t>
  </si>
  <si>
    <t>Shoes ( at least 2 pair of shoes for children)</t>
  </si>
  <si>
    <t xml:space="preserve">Out of pocket payments (15% theshold) </t>
  </si>
  <si>
    <t xml:space="preserve">Round trip (km) </t>
  </si>
  <si>
    <t>Saucepans</t>
  </si>
  <si>
    <t>Plates</t>
  </si>
  <si>
    <t>Serving spoon</t>
  </si>
  <si>
    <t>Wooden mingle</t>
  </si>
  <si>
    <r>
      <t xml:space="preserve">Measurement
</t>
    </r>
    <r>
      <rPr>
        <sz val="10"/>
        <color theme="1"/>
        <rFont val="Calibri"/>
        <family val="2"/>
        <scheme val="minor"/>
      </rPr>
      <t xml:space="preserve">
NFI: unit measurement</t>
    </r>
  </si>
  <si>
    <r>
      <t xml:space="preserve">Price (UGX)
</t>
    </r>
    <r>
      <rPr>
        <sz val="10"/>
        <color theme="1"/>
        <rFont val="Calibri"/>
        <family val="2"/>
        <scheme val="minor"/>
      </rPr>
      <t xml:space="preserve">
NFI: per unit </t>
    </r>
  </si>
  <si>
    <r>
      <t xml:space="preserve">Quantity per Household
</t>
    </r>
    <r>
      <rPr>
        <sz val="10"/>
        <color theme="1"/>
        <rFont val="Calibri"/>
        <family val="2"/>
        <scheme val="minor"/>
      </rPr>
      <t xml:space="preserve">
NFI: Unit quantity</t>
    </r>
  </si>
  <si>
    <t xml:space="preserve">Seasonal </t>
  </si>
  <si>
    <t xml:space="preserve">One  off </t>
  </si>
  <si>
    <t>Expenditure</t>
  </si>
  <si>
    <t>Agreement</t>
  </si>
  <si>
    <t>proxy</t>
  </si>
  <si>
    <t xml:space="preserve">Monthly proxy - Expenditure observation- </t>
  </si>
  <si>
    <r>
      <t>Sub-total of MEB</t>
    </r>
    <r>
      <rPr>
        <sz val="11"/>
        <color theme="1"/>
        <rFont val="Calibri"/>
        <family val="2"/>
        <scheme val="minor"/>
      </rPr>
      <t xml:space="preserve"> 
ONE off</t>
    </r>
  </si>
  <si>
    <t>Total Adjusted Monthly -Deducting targeted oneoff livelihood</t>
  </si>
  <si>
    <t>Difference</t>
  </si>
  <si>
    <t xml:space="preserve">Crosscheck -Master data </t>
  </si>
  <si>
    <r>
      <t xml:space="preserve">Measurement
</t>
    </r>
    <r>
      <rPr>
        <sz val="12"/>
        <color theme="1"/>
        <rFont val="Calibri"/>
        <family val="2"/>
        <scheme val="minor"/>
      </rPr>
      <t>Food: per person allowance (gr)
NFI: unit measurement</t>
    </r>
  </si>
  <si>
    <r>
      <t xml:space="preserve">Price (UGX)-average 
</t>
    </r>
    <r>
      <rPr>
        <sz val="12"/>
        <color theme="1"/>
        <rFont val="Calibri"/>
        <family val="2"/>
        <scheme val="minor"/>
      </rPr>
      <t xml:space="preserve">Food: per person allowance
NFI: per unit </t>
    </r>
  </si>
  <si>
    <r>
      <t xml:space="preserve">Quantity per Household
</t>
    </r>
    <r>
      <rPr>
        <sz val="12"/>
        <color theme="1"/>
        <rFont val="Calibri"/>
        <family val="2"/>
        <scheme val="minor"/>
      </rPr>
      <t>Food: total HH gr allowance
NFI: Unit quantity</t>
    </r>
  </si>
  <si>
    <t xml:space="preserve">Differences account this calculator rounds up, while calculation on average based on the the difference by settlement. You can check differences in columm F and G (hide) </t>
  </si>
  <si>
    <t xml:space="preserve">Household expenditure </t>
  </si>
  <si>
    <t>FSNA. 2017 For expenditure, it used the mean non-refugee as a "standard". For refugee current expenditure refer to narrative</t>
  </si>
  <si>
    <r>
      <rPr>
        <sz val="12"/>
        <color rgb="FFFFFFFF"/>
        <rFont val="Arial Black"/>
        <family val="2"/>
      </rPr>
      <t xml:space="preserve">Co-chaired by  </t>
    </r>
    <r>
      <rPr>
        <sz val="16"/>
        <color rgb="FFFFFFFF"/>
        <rFont val="Arial Black"/>
        <family val="2"/>
      </rPr>
      <t xml:space="preserve">                                  </t>
    </r>
    <r>
      <rPr>
        <sz val="12"/>
        <color rgb="FFFFFFFF"/>
        <rFont val="Arial Black"/>
        <family val="2"/>
      </rPr>
      <t xml:space="preserve">Supported by </t>
    </r>
  </si>
  <si>
    <t>Updated</t>
  </si>
  <si>
    <t>For feedback please contact cwg.uganda.kampala@gmail.com</t>
  </si>
  <si>
    <t>Planning Assumptions</t>
  </si>
  <si>
    <t xml:space="preserve">Household </t>
  </si>
  <si>
    <t>members</t>
  </si>
  <si>
    <t>women -11-60 years</t>
  </si>
  <si>
    <t>children enrolled in primary  school</t>
  </si>
  <si>
    <t xml:space="preserve">children enrolled in secondary school </t>
  </si>
  <si>
    <t>Sector</t>
  </si>
  <si>
    <t xml:space="preserve">% </t>
  </si>
  <si>
    <t>MEB Reference Value (UGX)*</t>
  </si>
  <si>
    <t>Average Per HH</t>
  </si>
  <si>
    <t>Comments</t>
  </si>
  <si>
    <t xml:space="preserve">Hygiene </t>
  </si>
  <si>
    <t>Hygiene -450 grams per person laundry soap-and one-off package/12 (including Bucket  with a lid 15l,  JerryCan 20 litres, 5 l handwashing, reusable sanitary pads-2 Women</t>
  </si>
  <si>
    <t>Pro-poor tariffs as directed by Uganda Government and implemented by National Water and Sewerage Corporation(NWSC) reference 25UGX for a jerry can of 20 litres</t>
  </si>
  <si>
    <t xml:space="preserve">Education </t>
  </si>
  <si>
    <t>Data triangulation. FGD and National Statitistics and RIMA data. Yearly Cost. 22,000 UGX per primary enrolled child ( x 2) + 1 x 300,000 UGX per child enrolled in secondary school -1 )</t>
  </si>
  <si>
    <t xml:space="preserve">Triangulation Firewood. 1,1 kg per person per day x 30 days x 143 per kg = 4719 UGX x 5 members, 23,595 UGX per month and 1250 UGX per HH per week for lighting adds up to total of 28,595 UGX per HH per month. Assummes Cooking under controlled conditions and by use of improved cook technologies </t>
  </si>
  <si>
    <t>Transport</t>
  </si>
  <si>
    <t xml:space="preserve">Triangulation. Expenditure based. 6.8%  (average out of national statistics spent in sub-region) X  Monthly expenditure of host communities (161,775 UGX per month) </t>
  </si>
  <si>
    <t xml:space="preserve">Communication  </t>
  </si>
  <si>
    <t xml:space="preserve">Triangulation. Cost of airtime. 2.6% of expenditure (161,775 UGX per month) </t>
  </si>
  <si>
    <t xml:space="preserve">Triangulation. 2.5% Expenditure based  (161,775 UGX per month). </t>
  </si>
  <si>
    <t xml:space="preserve">Triangulation. Health expenditure based on Sub regional Data (UBOS) and national surveys. Out of the pocket payment calculated as a maximum of 15% of health expenditures. Observation of actual expenditures. </t>
  </si>
  <si>
    <t xml:space="preserve">Others HH items and personal expenditures </t>
  </si>
  <si>
    <t>Blanket and  kitchen sets One off/12</t>
  </si>
  <si>
    <t xml:space="preserve">Shelter </t>
  </si>
  <si>
    <t>One off - sector specific cash assistance needs to be  explored-</t>
  </si>
  <si>
    <t xml:space="preserve">Livelihood </t>
  </si>
  <si>
    <t xml:space="preserve">10.73 USD per month.  Observations in expenditure and monetization of  Seeds, Vet Services/Vaccines/Drugs, Access to water, Hoe, Axe, Slasher, pruning knife/knife Fishing boats (during the last month recall), guided the monthly,seasonal and one off component (as a proxy). To be adjusted based on different types of livelihood. Refer to Livelihood Sector Working Group. </t>
  </si>
  <si>
    <t>Total per HH per month</t>
  </si>
  <si>
    <t>To be used as a reference value. To be localized at settlement level given the refugees priorities, expenditures and market availability/access.</t>
  </si>
  <si>
    <t xml:space="preserve">*Please refer to Guidance Note for detailed explaination. The "reference value" should be used as a reference and by no means should be taken as a prescriptive value to apply without due diligence vulnerability and market assessments at settlement level and involvement of refugees in the process of program design. The guidance seeks to answer the question of what is the minimum amount that a median refugee household requires to meet basic needs that could be covered entirely or partly through the market. </t>
  </si>
  <si>
    <t>One-off-Deducting one off and seasonal targeted support livelihood</t>
  </si>
  <si>
    <t xml:space="preserve">Considerations for CVA provision-For practitioners  by setttlement </t>
  </si>
  <si>
    <t>OIL, VEGETABLE [WFP] (grams)</t>
  </si>
  <si>
    <t>MILK, COW, WHOLE, NOT FORTIFIED (litres)</t>
  </si>
  <si>
    <t>Nutval calculation. Per person per month x number of people in average household</t>
  </si>
  <si>
    <t>Laundry Soap (450 gr per person)</t>
  </si>
  <si>
    <t>If available and accesible, adjust to bacterial soap 250 gm</t>
  </si>
  <si>
    <t xml:space="preserve">reusable refer to one off. Disposable include it here. </t>
  </si>
  <si>
    <t xml:space="preserve">450 grams per person (sphere) </t>
  </si>
  <si>
    <t>Underwear (oneoff-3 per women)</t>
  </si>
  <si>
    <t xml:space="preserve">2.5% of total expenditure. </t>
  </si>
  <si>
    <t xml:space="preserve">Out of pocket payments </t>
  </si>
  <si>
    <t>Others</t>
  </si>
  <si>
    <t xml:space="preserve">Livelihood Sector estimate 10.73 USD as a proxy for monthly investment in IGA </t>
  </si>
  <si>
    <t>Monthly repairments</t>
  </si>
  <si>
    <t>Crosscheck -Master data (HIDDEN)</t>
  </si>
  <si>
    <t>included  in monthly cost in closthing</t>
  </si>
  <si>
    <t>Underwear-</t>
  </si>
  <si>
    <t xml:space="preserve">RIMA data and  triangulation of cost per child. 2 children in primary </t>
  </si>
  <si>
    <t xml:space="preserve">RIMA data and  triangulation of cost per child. 1 child in secondary </t>
  </si>
  <si>
    <t xml:space="preserve">Livelihood sector </t>
  </si>
  <si>
    <t xml:space="preserve">Considerations for CVA provision-to be filled by practitioners at settlement level </t>
  </si>
  <si>
    <t>Mosquito nets</t>
  </si>
  <si>
    <t>cups</t>
  </si>
  <si>
    <t xml:space="preserve">Considerations for CVA provision-for practitioners to be adjusted at settlement level </t>
  </si>
  <si>
    <t>Adjusted to monthly calculation /12</t>
  </si>
  <si>
    <t>Non-food MEB-Normative</t>
  </si>
  <si>
    <t>Total per person per month</t>
  </si>
  <si>
    <t xml:space="preserve">Total per person per day </t>
  </si>
  <si>
    <r>
      <t xml:space="preserve">Minimum Expenditure Basket- Harmonization Guidance. V1 Draft. March 2019
</t>
    </r>
    <r>
      <rPr>
        <sz val="14"/>
        <color rgb="FFFFFFFF"/>
        <rFont val="Arial Black"/>
        <family val="2"/>
      </rPr>
      <t xml:space="preserve">Uganda Refugee Response - Cash Working Group (CWG) </t>
    </r>
    <r>
      <rPr>
        <sz val="16"/>
        <color rgb="FFFFFFFF"/>
        <rFont val="Arial Black"/>
        <family val="2"/>
      </rPr>
      <t xml:space="preserve">    </t>
    </r>
  </si>
  <si>
    <t xml:space="preserve">Composition  </t>
  </si>
  <si>
    <t xml:space="preserve">At least 2 </t>
  </si>
  <si>
    <t>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</si>
</sst>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0"/>
      <name val="Arial"/>
      <family val="2"/>
    </font>
    <font>
      <b/>
      <sz val="11"/>
      <color theme="1"/>
      <name val="Calibri"/>
      <family val="2"/>
      <scheme val="minor"/>
    </font>
    <font>
      <sz val="9"/>
      <name val="Tahoma"/>
      <family val="2"/>
    </font>
    <font>
      <b/>
      <sz val="9"/>
      <name val="Tahoma"/>
      <family val="2"/>
    </font>
    <font>
      <sz val="11"/>
      <color rgb="FFFF0000"/>
      <name val="Calibri"/>
      <family val="2"/>
      <scheme val="minor"/>
    </font>
    <font>
      <b/>
      <sz val="16"/>
      <color theme="1"/>
      <name val="Calibri"/>
      <family val="2"/>
      <scheme val="minor"/>
    </font>
    <font>
      <sz val="16"/>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theme="1"/>
      <name val="Franklin Gothic Book"/>
      <family val="2"/>
    </font>
    <font>
      <sz val="10"/>
      <color rgb="FF000000"/>
      <name val="Franklin Gothic Book"/>
      <family val="2"/>
    </font>
    <font>
      <sz val="11"/>
      <name val="Calibri"/>
      <family val="2"/>
      <scheme val="minor"/>
    </font>
    <font>
      <sz val="12"/>
      <color rgb="FFFF0000"/>
      <name val="Calibri"/>
      <family val="2"/>
      <scheme val="minor"/>
    </font>
    <font>
      <sz val="16"/>
      <name val="Calibri"/>
      <family val="2"/>
      <scheme val="minor"/>
    </font>
    <font>
      <sz val="16"/>
      <color rgb="FFFFFFFF"/>
      <name val="Arial Black"/>
      <family val="2"/>
    </font>
    <font>
      <sz val="14"/>
      <color rgb="FFFFFFFF"/>
      <name val="Arial Black"/>
      <family val="2"/>
    </font>
    <font>
      <sz val="12"/>
      <color rgb="FFFFFFFF"/>
      <name val="Arial Black"/>
      <family val="2"/>
    </font>
    <font>
      <i/>
      <sz val="10"/>
      <color theme="1"/>
      <name val="Calibri"/>
      <family val="2"/>
      <scheme val="minor"/>
    </font>
    <font>
      <i/>
      <sz val="10"/>
      <color theme="0"/>
      <name val="Calibri"/>
      <family val="2"/>
      <scheme val="minor"/>
    </font>
    <font>
      <sz val="11"/>
      <color theme="1"/>
      <name val="Calibri"/>
      <family val="2"/>
    </font>
    <font>
      <sz val="12"/>
      <name val="Calibri"/>
      <family val="2"/>
      <scheme val="minor"/>
    </font>
    <font>
      <sz val="11"/>
      <color rgb="FF651A1A"/>
      <name val="Trebuchet MS"/>
      <family val="2"/>
    </font>
    <font>
      <i/>
      <sz val="16"/>
      <color theme="1"/>
      <name val="Calibri"/>
      <family val="2"/>
      <scheme val="minor"/>
    </font>
    <font>
      <sz val="14"/>
      <color theme="1" tint="0.35"/>
      <name val="Calibri"/>
      <family val="2"/>
    </font>
    <font>
      <sz val="9"/>
      <color theme="1" tint="0.35"/>
      <name val="+mn-cs"/>
      <family val="2"/>
    </font>
    <font>
      <sz val="9"/>
      <color theme="1" tint="0.35"/>
      <name val="Calibri"/>
      <family val="2"/>
    </font>
    <font>
      <b/>
      <sz val="11"/>
      <color theme="1"/>
      <name val="Calibri"/>
      <family val="2"/>
    </font>
    <font>
      <b/>
      <sz val="11"/>
      <color rgb="FF000000"/>
      <name val="Calibri"/>
      <family val="2"/>
    </font>
    <font>
      <sz val="32"/>
      <color theme="1" tint="0.35"/>
      <name val="Calibri"/>
      <family val="2"/>
    </font>
    <font>
      <sz val="18"/>
      <color theme="0"/>
      <name val="Calibri"/>
      <family val="2"/>
    </font>
    <font>
      <sz val="18"/>
      <color theme="1" tint="0.35"/>
      <name val="Calibri"/>
      <family val="2"/>
    </font>
    <font>
      <b/>
      <sz val="8"/>
      <name val="Calibri"/>
      <family val="2"/>
    </font>
    <font>
      <sz val="11"/>
      <color rgb="FF000000"/>
      <name val="Calibri"/>
      <family val="2"/>
    </font>
  </fonts>
  <fills count="12">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6" tint="0.5999900102615356"/>
        <bgColor indexed="64"/>
      </patternFill>
    </fill>
    <fill>
      <patternFill patternType="solid">
        <fgColor rgb="FF92D050"/>
        <bgColor indexed="64"/>
      </patternFill>
    </fill>
    <fill>
      <patternFill patternType="solid">
        <fgColor rgb="FFF7F7F7"/>
        <bgColor indexed="64"/>
      </patternFill>
    </fill>
    <fill>
      <patternFill patternType="solid">
        <fgColor rgb="FFD9D9D9"/>
        <bgColor indexed="64"/>
      </patternFill>
    </fill>
    <fill>
      <patternFill patternType="solid">
        <fgColor theme="5"/>
        <bgColor indexed="64"/>
      </patternFill>
    </fill>
    <fill>
      <patternFill patternType="solid">
        <fgColor rgb="FF9C1E22"/>
        <bgColor indexed="64"/>
      </patternFill>
    </fill>
    <fill>
      <patternFill patternType="solid">
        <fgColor theme="4" tint="0.5999900102615356"/>
        <bgColor indexed="64"/>
      </patternFill>
    </fill>
    <fill>
      <patternFill patternType="solid">
        <fgColor theme="4" tint="0.7999799847602844"/>
        <bgColor indexed="64"/>
      </patternFill>
    </fill>
  </fills>
  <borders count="37">
    <border>
      <left/>
      <right/>
      <top/>
      <bottom/>
      <diagonal/>
    </border>
    <border>
      <left/>
      <right/>
      <top style="medium"/>
      <bottom/>
    </border>
    <border>
      <left/>
      <right/>
      <top/>
      <bottom style="medium"/>
    </border>
    <border>
      <left style="medium"/>
      <right/>
      <top style="medium"/>
      <bottom/>
    </border>
    <border>
      <left/>
      <right style="medium"/>
      <top style="medium"/>
      <bottom/>
    </border>
    <border>
      <left/>
      <right style="medium"/>
      <top/>
      <bottom/>
    </border>
    <border>
      <left/>
      <right style="medium"/>
      <top style="medium"/>
      <bottom style="medium"/>
    </border>
    <border>
      <left/>
      <right style="medium"/>
      <top/>
      <bottom style="medium"/>
    </border>
    <border>
      <left style="thin"/>
      <right style="thin"/>
      <top style="thin"/>
      <bottom style="thin"/>
    </border>
    <border>
      <left/>
      <right/>
      <top style="medium"/>
      <bottom style="medium"/>
    </border>
    <border>
      <left style="thin"/>
      <right style="thin"/>
      <top style="thin"/>
      <bottom style="medium"/>
    </border>
    <border>
      <left style="medium"/>
      <right style="thin"/>
      <top style="thin"/>
      <bottom style="medium"/>
    </border>
    <border>
      <left style="medium"/>
      <right style="thin"/>
      <top style="thin"/>
      <bottom style="thin"/>
    </border>
    <border>
      <left style="thin"/>
      <right style="thin"/>
      <top/>
      <bottom style="thin"/>
    </border>
    <border>
      <left style="medium"/>
      <right style="thin"/>
      <top/>
      <bottom style="thin"/>
    </border>
    <border>
      <left style="medium">
        <color rgb="FFE18A8A"/>
      </left>
      <right style="medium">
        <color rgb="FFE18A8A"/>
      </right>
      <top style="medium">
        <color rgb="FFE18A8A"/>
      </top>
      <bottom style="medium">
        <color rgb="FFCCCCCC"/>
      </bottom>
    </border>
    <border>
      <left style="thin"/>
      <right style="medium"/>
      <top style="thin"/>
      <bottom style="thin"/>
    </border>
    <border>
      <left style="thin"/>
      <right style="medium"/>
      <top/>
      <bottom style="thin"/>
    </border>
    <border>
      <left style="thin"/>
      <right style="medium"/>
      <top/>
      <bottom style="medium"/>
    </border>
    <border>
      <left style="thin"/>
      <right style="thin"/>
      <top/>
      <bottom style="medium"/>
    </border>
    <border>
      <left style="medium"/>
      <right style="thin"/>
      <top/>
      <bottom style="medium"/>
    </border>
    <border>
      <left style="thin"/>
      <right style="medium"/>
      <top style="thin"/>
      <bottom style="medium"/>
    </border>
    <border>
      <left style="medium"/>
      <right/>
      <top/>
      <bottom/>
    </border>
    <border>
      <left/>
      <right style="thin"/>
      <top style="thin"/>
      <bottom style="thin"/>
    </border>
    <border>
      <left style="medium"/>
      <right/>
      <top style="medium"/>
      <bottom style="medium"/>
    </border>
    <border>
      <left style="thin"/>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thin"/>
      <top style="thin"/>
      <bottom/>
    </border>
    <border>
      <left/>
      <right style="thin"/>
      <top/>
      <bottom/>
    </border>
    <border>
      <left style="medium"/>
      <right/>
      <top/>
      <bottom style="medium"/>
    </border>
    <border>
      <left/>
      <right style="thin"/>
      <top/>
      <bottom style="medium"/>
    </border>
    <border>
      <left style="medium"/>
      <right style="medium"/>
      <top style="medium"/>
      <bottom/>
    </border>
    <border>
      <left style="medium"/>
      <right style="medium"/>
      <top/>
      <bottom style="medium"/>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9" fontId="10" fillId="0" borderId="0" applyFont="0" applyFill="0" applyBorder="0" applyAlignment="0" applyProtection="0"/>
  </cellStyleXfs>
  <cellXfs count="279">
    <xf numFmtId="0" fontId="0" fillId="0" borderId="0" xfId="0"/>
    <xf numFmtId="0" fontId="0" fillId="0" borderId="1" xfId="0" applyBorder="1"/>
    <xf numFmtId="0" fontId="0" fillId="0" borderId="0" xfId="0" applyBorder="1"/>
    <xf numFmtId="0" fontId="0" fillId="0" borderId="2" xfId="0" applyFill="1" applyBorder="1"/>
    <xf numFmtId="0" fontId="0" fillId="0" borderId="2" xfId="0" applyBorder="1"/>
    <xf numFmtId="0" fontId="0" fillId="0" borderId="0" xfId="0" applyFill="1" applyBorder="1"/>
    <xf numFmtId="0" fontId="0" fillId="0" borderId="1" xfId="0" applyFill="1" applyBorder="1"/>
    <xf numFmtId="0" fontId="2" fillId="0" borderId="3" xfId="0" applyFont="1" applyBorder="1"/>
    <xf numFmtId="0" fontId="2" fillId="0" borderId="1" xfId="0" applyFont="1" applyBorder="1"/>
    <xf numFmtId="0" fontId="2" fillId="0" borderId="4" xfId="0" applyFont="1" applyBorder="1"/>
    <xf numFmtId="4" fontId="0" fillId="0" borderId="5" xfId="0" applyNumberFormat="1" applyBorder="1"/>
    <xf numFmtId="0" fontId="2" fillId="0" borderId="6" xfId="0" applyFont="1" applyFill="1" applyBorder="1" applyAlignment="1">
      <alignment horizontal="center"/>
    </xf>
    <xf numFmtId="4" fontId="0" fillId="0" borderId="0" xfId="0" applyNumberFormat="1" applyBorder="1"/>
    <xf numFmtId="0" fontId="0" fillId="0" borderId="0" xfId="0" applyAlignment="1">
      <alignment vertical="center" wrapText="1"/>
    </xf>
    <xf numFmtId="4" fontId="0" fillId="0" borderId="1" xfId="0" applyNumberFormat="1" applyFill="1" applyBorder="1"/>
    <xf numFmtId="4" fontId="0" fillId="0" borderId="4" xfId="0" applyNumberFormat="1" applyFill="1" applyBorder="1"/>
    <xf numFmtId="4" fontId="0" fillId="0" borderId="0" xfId="0" applyNumberFormat="1" applyFill="1" applyBorder="1"/>
    <xf numFmtId="4" fontId="0" fillId="0" borderId="5" xfId="0" applyNumberFormat="1" applyFill="1" applyBorder="1"/>
    <xf numFmtId="4" fontId="0" fillId="0" borderId="2" xfId="0" applyNumberFormat="1" applyFill="1" applyBorder="1"/>
    <xf numFmtId="4" fontId="0" fillId="0" borderId="7" xfId="0" applyNumberFormat="1" applyFill="1" applyBorder="1"/>
    <xf numFmtId="0" fontId="6" fillId="0" borderId="0" xfId="0" applyFont="1" applyFill="1" applyAlignment="1">
      <alignment vertical="center"/>
    </xf>
    <xf numFmtId="0" fontId="0" fillId="0" borderId="0" xfId="0" applyFill="1"/>
    <xf numFmtId="4" fontId="0" fillId="0" borderId="0" xfId="0" applyNumberFormat="1" applyBorder="1" applyAlignment="1">
      <alignment horizontal="center" vertical="center"/>
    </xf>
    <xf numFmtId="4" fontId="0" fillId="0" borderId="0" xfId="0" applyNumberFormat="1" applyFill="1" applyBorder="1" applyAlignment="1">
      <alignment horizontal="center" vertical="center"/>
    </xf>
    <xf numFmtId="3" fontId="0" fillId="0" borderId="6" xfId="0" applyNumberFormat="1" applyBorder="1"/>
    <xf numFmtId="3" fontId="0" fillId="0" borderId="4" xfId="0" applyNumberFormat="1" applyFill="1" applyBorder="1"/>
    <xf numFmtId="3" fontId="0" fillId="0" borderId="7" xfId="0" applyNumberFormat="1" applyFill="1" applyBorder="1"/>
    <xf numFmtId="0" fontId="7" fillId="0" borderId="1" xfId="0" applyFont="1" applyFill="1" applyBorder="1"/>
    <xf numFmtId="4" fontId="7" fillId="0" borderId="1" xfId="0" applyNumberFormat="1" applyFont="1" applyFill="1" applyBorder="1"/>
    <xf numFmtId="4" fontId="7" fillId="0" borderId="4" xfId="0" applyNumberFormat="1" applyFont="1" applyFill="1" applyBorder="1"/>
    <xf numFmtId="0" fontId="7" fillId="0" borderId="2" xfId="0" applyFont="1" applyFill="1" applyBorder="1"/>
    <xf numFmtId="4" fontId="7" fillId="0" borderId="7" xfId="0" applyNumberFormat="1" applyFont="1" applyFill="1" applyBorder="1"/>
    <xf numFmtId="0" fontId="6" fillId="0" borderId="0" xfId="0" applyFont="1" applyFill="1" applyBorder="1" applyAlignment="1">
      <alignment vertical="center"/>
    </xf>
    <xf numFmtId="0" fontId="0" fillId="0" borderId="8" xfId="0" applyBorder="1"/>
    <xf numFmtId="3" fontId="0" fillId="0" borderId="8" xfId="0" applyNumberFormat="1" applyBorder="1"/>
    <xf numFmtId="0" fontId="10" fillId="0" borderId="0" xfId="0" applyFont="1"/>
    <xf numFmtId="0" fontId="9" fillId="0" borderId="0" xfId="0" applyFont="1"/>
    <xf numFmtId="0" fontId="9" fillId="0" borderId="0" xfId="0" applyFont="1" applyAlignment="1">
      <alignment wrapText="1"/>
    </xf>
    <xf numFmtId="0" fontId="9" fillId="0" borderId="0" xfId="0" applyFont="1" applyAlignment="1">
      <alignment horizontal="left" wrapText="1"/>
    </xf>
    <xf numFmtId="0" fontId="9" fillId="0" borderId="0" xfId="0" applyFont="1" applyBorder="1" applyAlignment="1">
      <alignment wrapText="1"/>
    </xf>
    <xf numFmtId="0" fontId="10" fillId="0" borderId="8" xfId="0" applyFont="1" applyBorder="1" applyAlignment="1">
      <alignment wrapText="1"/>
    </xf>
    <xf numFmtId="0" fontId="10" fillId="0" borderId="8" xfId="0" applyFont="1" applyBorder="1"/>
    <xf numFmtId="3" fontId="10" fillId="0" borderId="8" xfId="0" applyNumberFormat="1" applyFont="1" applyBorder="1"/>
    <xf numFmtId="0" fontId="10" fillId="0" borderId="1" xfId="0" applyFont="1" applyBorder="1"/>
    <xf numFmtId="4" fontId="10" fillId="2" borderId="1" xfId="0" applyNumberFormat="1" applyFont="1" applyFill="1" applyBorder="1"/>
    <xf numFmtId="0" fontId="10" fillId="0" borderId="0" xfId="0" applyFont="1" applyBorder="1"/>
    <xf numFmtId="4" fontId="10" fillId="2" borderId="0" xfId="0" applyNumberFormat="1" applyFont="1" applyFill="1" applyBorder="1"/>
    <xf numFmtId="0" fontId="10" fillId="2" borderId="8" xfId="0" applyFont="1" applyFill="1" applyBorder="1"/>
    <xf numFmtId="3" fontId="10" fillId="2" borderId="8" xfId="0" applyNumberFormat="1" applyFont="1" applyFill="1" applyBorder="1"/>
    <xf numFmtId="4" fontId="9" fillId="2" borderId="2" xfId="0" applyNumberFormat="1" applyFont="1" applyFill="1" applyBorder="1"/>
    <xf numFmtId="0" fontId="10" fillId="0" borderId="0" xfId="0" applyFont="1" applyBorder="1" quotePrefix="1"/>
    <xf numFmtId="0" fontId="10" fillId="0" borderId="8" xfId="0" applyFont="1" applyFill="1" applyBorder="1"/>
    <xf numFmtId="0" fontId="10" fillId="2" borderId="2" xfId="0" applyFont="1" applyFill="1" applyBorder="1"/>
    <xf numFmtId="0" fontId="10" fillId="0" borderId="0" xfId="0" applyFont="1" applyBorder="1" applyAlignment="1">
      <alignment wrapText="1"/>
    </xf>
    <xf numFmtId="0" fontId="10" fillId="0" borderId="0" xfId="0" applyFont="1" applyFill="1" applyBorder="1"/>
    <xf numFmtId="3" fontId="10" fillId="0" borderId="0" xfId="0" applyNumberFormat="1" applyFont="1" applyBorder="1"/>
    <xf numFmtId="3" fontId="10" fillId="2" borderId="2" xfId="0" applyNumberFormat="1" applyFont="1" applyFill="1" applyBorder="1"/>
    <xf numFmtId="0" fontId="10" fillId="0" borderId="1" xfId="0" applyFont="1" applyBorder="1" applyAlignment="1">
      <alignment wrapText="1"/>
    </xf>
    <xf numFmtId="3" fontId="10" fillId="0" borderId="1" xfId="0" applyNumberFormat="1" applyFont="1" applyBorder="1"/>
    <xf numFmtId="49" fontId="10" fillId="0" borderId="0" xfId="0" applyNumberFormat="1" applyFont="1" applyBorder="1"/>
    <xf numFmtId="49" fontId="10" fillId="2" borderId="2" xfId="0" applyNumberFormat="1" applyFont="1" applyFill="1" applyBorder="1"/>
    <xf numFmtId="49" fontId="10" fillId="0" borderId="1" xfId="0" applyNumberFormat="1" applyFont="1" applyBorder="1"/>
    <xf numFmtId="0" fontId="10" fillId="2" borderId="2" xfId="0" applyFont="1" applyFill="1" applyBorder="1" applyAlignment="1">
      <alignment wrapText="1"/>
    </xf>
    <xf numFmtId="4" fontId="10" fillId="2" borderId="2" xfId="0" applyNumberFormat="1" applyFont="1" applyFill="1" applyBorder="1"/>
    <xf numFmtId="0" fontId="8" fillId="0" borderId="0" xfId="0" applyFont="1"/>
    <xf numFmtId="0" fontId="11" fillId="0" borderId="0" xfId="0" applyFont="1"/>
    <xf numFmtId="0" fontId="11" fillId="0" borderId="0" xfId="0" applyFont="1" applyAlignment="1">
      <alignment wrapText="1"/>
    </xf>
    <xf numFmtId="0" fontId="11" fillId="0" borderId="0" xfId="0" applyFont="1" applyAlignment="1">
      <alignment horizontal="left" wrapText="1"/>
    </xf>
    <xf numFmtId="0" fontId="8" fillId="0" borderId="8" xfId="0" applyFont="1" applyBorder="1" applyAlignment="1">
      <alignment wrapText="1"/>
    </xf>
    <xf numFmtId="0" fontId="8" fillId="0" borderId="8" xfId="0" applyFont="1" applyBorder="1"/>
    <xf numFmtId="3" fontId="8" fillId="0" borderId="8" xfId="0" applyNumberFormat="1" applyFont="1" applyBorder="1"/>
    <xf numFmtId="4" fontId="8" fillId="2" borderId="8" xfId="0" applyNumberFormat="1" applyFont="1" applyFill="1" applyBorder="1"/>
    <xf numFmtId="0" fontId="8" fillId="0" borderId="1" xfId="0" applyFont="1" applyBorder="1"/>
    <xf numFmtId="4" fontId="8" fillId="2" borderId="1" xfId="0" applyNumberFormat="1" applyFont="1" applyFill="1" applyBorder="1"/>
    <xf numFmtId="49" fontId="8" fillId="0" borderId="1" xfId="0" applyNumberFormat="1" applyFont="1" applyBorder="1" applyAlignment="1">
      <alignment wrapText="1"/>
    </xf>
    <xf numFmtId="49" fontId="8" fillId="0" borderId="4" xfId="0" applyNumberFormat="1" applyFont="1" applyBorder="1" applyAlignment="1">
      <alignment wrapText="1"/>
    </xf>
    <xf numFmtId="0" fontId="8" fillId="0" borderId="0" xfId="0" applyFont="1" applyBorder="1"/>
    <xf numFmtId="4" fontId="8" fillId="2" borderId="0" xfId="0" applyNumberFormat="1" applyFont="1" applyFill="1" applyBorder="1"/>
    <xf numFmtId="49" fontId="8" fillId="0" borderId="0" xfId="0" applyNumberFormat="1" applyFont="1" applyBorder="1" applyAlignment="1">
      <alignment wrapText="1"/>
    </xf>
    <xf numFmtId="49" fontId="8" fillId="0" borderId="5" xfId="0" applyNumberFormat="1" applyFont="1" applyBorder="1" applyAlignment="1">
      <alignment wrapText="1"/>
    </xf>
    <xf numFmtId="0" fontId="11" fillId="2" borderId="8" xfId="0" applyFont="1" applyFill="1" applyBorder="1" applyAlignment="1">
      <alignment wrapText="1"/>
    </xf>
    <xf numFmtId="0" fontId="8" fillId="2" borderId="8" xfId="0" applyFont="1" applyFill="1" applyBorder="1"/>
    <xf numFmtId="3" fontId="8" fillId="2" borderId="8" xfId="0" applyNumberFormat="1" applyFont="1" applyFill="1" applyBorder="1"/>
    <xf numFmtId="4" fontId="11" fillId="2" borderId="8" xfId="0" applyNumberFormat="1" applyFont="1" applyFill="1" applyBorder="1"/>
    <xf numFmtId="0" fontId="8" fillId="2" borderId="2" xfId="0" applyFont="1" applyFill="1" applyBorder="1" quotePrefix="1"/>
    <xf numFmtId="4" fontId="11" fillId="2" borderId="2" xfId="0" applyNumberFormat="1" applyFont="1" applyFill="1" applyBorder="1"/>
    <xf numFmtId="49" fontId="8" fillId="2" borderId="2" xfId="0" applyNumberFormat="1" applyFont="1" applyFill="1" applyBorder="1" applyAlignment="1">
      <alignment wrapText="1"/>
    </xf>
    <xf numFmtId="49" fontId="8" fillId="2" borderId="7" xfId="0" applyNumberFormat="1" applyFont="1" applyFill="1" applyBorder="1" applyAlignment="1">
      <alignment wrapText="1"/>
    </xf>
    <xf numFmtId="0" fontId="12" fillId="0" borderId="8" xfId="0" applyFont="1" applyBorder="1" applyAlignment="1">
      <alignment vertical="center"/>
    </xf>
    <xf numFmtId="0" fontId="12" fillId="0" borderId="8" xfId="0" applyFont="1" applyBorder="1" applyAlignment="1">
      <alignment horizontal="right" vertical="center"/>
    </xf>
    <xf numFmtId="0" fontId="8" fillId="0" borderId="0" xfId="0" applyFont="1" applyBorder="1" quotePrefix="1"/>
    <xf numFmtId="0" fontId="8" fillId="0" borderId="8" xfId="0" applyFont="1" applyFill="1" applyBorder="1"/>
    <xf numFmtId="0" fontId="8" fillId="2" borderId="2" xfId="0" applyFont="1" applyFill="1" applyBorder="1"/>
    <xf numFmtId="0" fontId="8" fillId="0" borderId="0" xfId="0" applyFont="1" applyBorder="1" applyAlignment="1">
      <alignment wrapText="1"/>
    </xf>
    <xf numFmtId="0" fontId="8" fillId="0" borderId="0" xfId="0" applyFont="1" applyFill="1" applyBorder="1"/>
    <xf numFmtId="3" fontId="8" fillId="0" borderId="0" xfId="0" applyNumberFormat="1" applyFont="1" applyBorder="1"/>
    <xf numFmtId="3" fontId="8" fillId="0" borderId="0" xfId="0" applyNumberFormat="1" applyFont="1" applyFill="1" applyBorder="1"/>
    <xf numFmtId="0" fontId="11" fillId="2" borderId="2" xfId="0" applyFont="1" applyFill="1" applyBorder="1" applyAlignment="1">
      <alignment wrapText="1"/>
    </xf>
    <xf numFmtId="3" fontId="8" fillId="2" borderId="2" xfId="0" applyNumberFormat="1" applyFont="1" applyFill="1" applyBorder="1"/>
    <xf numFmtId="4" fontId="11" fillId="2" borderId="0" xfId="0" applyNumberFormat="1" applyFont="1" applyFill="1" applyBorder="1"/>
    <xf numFmtId="0" fontId="8" fillId="0" borderId="1" xfId="0" applyFont="1" applyBorder="1" applyAlignment="1">
      <alignment wrapText="1"/>
    </xf>
    <xf numFmtId="3" fontId="8" fillId="0" borderId="1" xfId="0" applyNumberFormat="1" applyFont="1" applyBorder="1"/>
    <xf numFmtId="49" fontId="8" fillId="0" borderId="0" xfId="0" applyNumberFormat="1" applyFont="1" applyBorder="1"/>
    <xf numFmtId="49" fontId="8" fillId="2" borderId="2" xfId="0" applyNumberFormat="1" applyFont="1" applyFill="1" applyBorder="1"/>
    <xf numFmtId="49" fontId="8" fillId="0" borderId="1" xfId="0" applyNumberFormat="1" applyFont="1" applyBorder="1"/>
    <xf numFmtId="0" fontId="11" fillId="2" borderId="0" xfId="0" applyFont="1" applyFill="1" applyBorder="1" applyAlignment="1">
      <alignment wrapText="1"/>
    </xf>
    <xf numFmtId="0" fontId="8" fillId="2" borderId="0" xfId="0" applyFont="1" applyFill="1" applyBorder="1"/>
    <xf numFmtId="3" fontId="8" fillId="2" borderId="0" xfId="0" applyNumberFormat="1" applyFont="1" applyFill="1" applyBorder="1"/>
    <xf numFmtId="49" fontId="8" fillId="2" borderId="0" xfId="0" applyNumberFormat="1" applyFont="1" applyFill="1" applyBorder="1"/>
    <xf numFmtId="49" fontId="8" fillId="2" borderId="0" xfId="0" applyNumberFormat="1" applyFont="1" applyFill="1" applyBorder="1" applyAlignment="1">
      <alignment wrapText="1"/>
    </xf>
    <xf numFmtId="49" fontId="8" fillId="2" borderId="5" xfId="0" applyNumberFormat="1" applyFont="1" applyFill="1" applyBorder="1" applyAlignment="1">
      <alignment wrapText="1"/>
    </xf>
    <xf numFmtId="0" fontId="8" fillId="2" borderId="2" xfId="0" applyFont="1" applyFill="1" applyBorder="1" applyAlignment="1">
      <alignment wrapText="1"/>
    </xf>
    <xf numFmtId="4" fontId="8" fillId="2" borderId="2" xfId="0" applyNumberFormat="1" applyFont="1" applyFill="1" applyBorder="1"/>
    <xf numFmtId="0" fontId="8" fillId="0" borderId="0" xfId="0" applyFont="1" applyAlignment="1">
      <alignment wrapText="1"/>
    </xf>
    <xf numFmtId="0" fontId="0" fillId="0" borderId="8" xfId="0" applyBorder="1" applyAlignment="1">
      <alignment vertical="center" wrapText="1"/>
    </xf>
    <xf numFmtId="0" fontId="14" fillId="3" borderId="8" xfId="0" applyFont="1" applyFill="1" applyBorder="1" applyAlignment="1">
      <alignment vertical="center"/>
    </xf>
    <xf numFmtId="3" fontId="14" fillId="3" borderId="8" xfId="0" applyNumberFormat="1" applyFont="1" applyFill="1" applyBorder="1" applyAlignment="1">
      <alignment horizontal="center" vertical="center"/>
    </xf>
    <xf numFmtId="0" fontId="14" fillId="3" borderId="8" xfId="0" applyFont="1" applyFill="1" applyBorder="1" applyAlignment="1">
      <alignment wrapText="1"/>
    </xf>
    <xf numFmtId="0" fontId="14" fillId="3" borderId="8" xfId="0" applyFont="1" applyFill="1" applyBorder="1" applyAlignment="1">
      <alignment vertical="center" wrapText="1"/>
    </xf>
    <xf numFmtId="0" fontId="14" fillId="3" borderId="8" xfId="0" applyFont="1" applyFill="1" applyBorder="1" applyAlignment="1">
      <alignment horizontal="center" vertical="center"/>
    </xf>
    <xf numFmtId="0" fontId="14" fillId="3" borderId="8" xfId="0" applyFont="1" applyFill="1" applyBorder="1" applyAlignment="1">
      <alignment horizontal="left" vertical="center" wrapText="1"/>
    </xf>
    <xf numFmtId="9" fontId="14" fillId="3" borderId="8" xfId="0" applyNumberFormat="1" applyFont="1" applyFill="1" applyBorder="1" applyAlignment="1">
      <alignment horizontal="center" vertical="center"/>
    </xf>
    <xf numFmtId="9" fontId="14" fillId="3" borderId="8" xfId="0" applyNumberFormat="1" applyFont="1" applyFill="1" applyBorder="1"/>
    <xf numFmtId="0" fontId="14" fillId="3" borderId="8" xfId="0" applyFont="1" applyFill="1" applyBorder="1"/>
    <xf numFmtId="3" fontId="14" fillId="3" borderId="8" xfId="0" applyNumberFormat="1" applyFont="1" applyFill="1" applyBorder="1"/>
    <xf numFmtId="0" fontId="14" fillId="3" borderId="8" xfId="0" applyFont="1" applyFill="1" applyBorder="1" applyAlignment="1">
      <alignment/>
    </xf>
    <xf numFmtId="4" fontId="14" fillId="3" borderId="8" xfId="0" applyNumberFormat="1" applyFont="1" applyFill="1" applyBorder="1"/>
    <xf numFmtId="3" fontId="14" fillId="3" borderId="8" xfId="0" applyNumberFormat="1" applyFont="1" applyFill="1" applyBorder="1" applyAlignment="1">
      <alignment/>
    </xf>
    <xf numFmtId="0" fontId="2" fillId="0" borderId="8" xfId="0" applyFont="1" applyBorder="1" applyAlignment="1">
      <alignment horizontal="center" wrapText="1"/>
    </xf>
    <xf numFmtId="4" fontId="0" fillId="0" borderId="8" xfId="0" applyNumberFormat="1" applyBorder="1"/>
    <xf numFmtId="4" fontId="0" fillId="0" borderId="8" xfId="0" applyNumberFormat="1" applyFont="1" applyBorder="1"/>
    <xf numFmtId="0" fontId="2" fillId="0" borderId="0" xfId="0" applyFont="1" applyBorder="1" applyAlignment="1">
      <alignment horizontal="center"/>
    </xf>
    <xf numFmtId="10" fontId="0" fillId="0" borderId="8" xfId="0" applyNumberFormat="1" applyBorder="1" quotePrefix="1"/>
    <xf numFmtId="10" fontId="10" fillId="2" borderId="1" xfId="0" applyNumberFormat="1" applyFont="1" applyFill="1" applyBorder="1"/>
    <xf numFmtId="0" fontId="10" fillId="0" borderId="1" xfId="0" applyFont="1" applyFill="1" applyBorder="1"/>
    <xf numFmtId="10" fontId="10" fillId="2" borderId="0" xfId="0" applyNumberFormat="1" applyFont="1" applyFill="1" applyBorder="1"/>
    <xf numFmtId="0" fontId="10" fillId="0" borderId="0" xfId="0" applyFont="1" applyFill="1" applyBorder="1" quotePrefix="1"/>
    <xf numFmtId="0" fontId="9" fillId="2" borderId="2" xfId="0" applyFont="1" applyFill="1" applyBorder="1"/>
    <xf numFmtId="10" fontId="9" fillId="2" borderId="2" xfId="0" applyNumberFormat="1" applyFont="1" applyFill="1" applyBorder="1"/>
    <xf numFmtId="49" fontId="9" fillId="2" borderId="2" xfId="0" applyNumberFormat="1" applyFont="1" applyFill="1" applyBorder="1" applyAlignment="1">
      <alignment horizontal="center" vertical="center" wrapText="1"/>
    </xf>
    <xf numFmtId="49" fontId="10" fillId="2" borderId="7" xfId="0" applyNumberFormat="1" applyFont="1" applyFill="1" applyBorder="1"/>
    <xf numFmtId="49" fontId="10" fillId="0" borderId="5" xfId="0" applyNumberFormat="1" applyFont="1" applyBorder="1"/>
    <xf numFmtId="4" fontId="10" fillId="0" borderId="0" xfId="0" applyNumberFormat="1" applyFont="1" applyFill="1" applyBorder="1"/>
    <xf numFmtId="49" fontId="10" fillId="0" borderId="4" xfId="0" applyNumberFormat="1" applyFont="1" applyBorder="1"/>
    <xf numFmtId="4" fontId="9" fillId="0" borderId="2" xfId="0" applyNumberFormat="1" applyFont="1" applyFill="1" applyBorder="1"/>
    <xf numFmtId="3" fontId="10" fillId="0" borderId="1" xfId="0" applyNumberFormat="1" applyFont="1" applyFill="1" applyBorder="1"/>
    <xf numFmtId="4" fontId="10" fillId="0" borderId="0" xfId="0" applyNumberFormat="1" applyFont="1"/>
    <xf numFmtId="10" fontId="10" fillId="0" borderId="0" xfId="0" applyNumberFormat="1" applyFont="1"/>
    <xf numFmtId="0" fontId="2" fillId="0" borderId="9" xfId="0" applyFont="1" applyFill="1" applyBorder="1" applyAlignment="1">
      <alignment horizontal="center"/>
    </xf>
    <xf numFmtId="3" fontId="0" fillId="0" borderId="9" xfId="0" applyNumberFormat="1" applyBorder="1"/>
    <xf numFmtId="0" fontId="2" fillId="0" borderId="8" xfId="0" applyFont="1" applyFill="1" applyBorder="1" applyAlignment="1">
      <alignment horizontal="center" wrapText="1"/>
    </xf>
    <xf numFmtId="3" fontId="5" fillId="0" borderId="8" xfId="0" applyNumberFormat="1" applyFont="1" applyBorder="1"/>
    <xf numFmtId="4" fontId="5" fillId="0" borderId="8" xfId="0" applyNumberFormat="1" applyFont="1" applyBorder="1"/>
    <xf numFmtId="4" fontId="16" fillId="0" borderId="2" xfId="0" applyNumberFormat="1" applyFont="1" applyFill="1" applyBorder="1"/>
    <xf numFmtId="0" fontId="10" fillId="0" borderId="0" xfId="20">
      <alignment/>
      <protection/>
    </xf>
    <xf numFmtId="0" fontId="10" fillId="0" borderId="0" xfId="20" applyAlignment="1">
      <alignment wrapText="1"/>
      <protection/>
    </xf>
    <xf numFmtId="0" fontId="10" fillId="0" borderId="5" xfId="20" applyBorder="1">
      <alignment/>
      <protection/>
    </xf>
    <xf numFmtId="0" fontId="10" fillId="0" borderId="0" xfId="20" applyBorder="1" applyAlignment="1">
      <alignment wrapText="1"/>
      <protection/>
    </xf>
    <xf numFmtId="0" fontId="10" fillId="0" borderId="0" xfId="20" applyBorder="1">
      <alignment/>
      <protection/>
    </xf>
    <xf numFmtId="3" fontId="9" fillId="4" borderId="10" xfId="20" applyNumberFormat="1" applyFont="1" applyFill="1" applyBorder="1" applyAlignment="1">
      <alignment wrapText="1"/>
      <protection/>
    </xf>
    <xf numFmtId="9" fontId="0" fillId="0" borderId="10" xfId="21" applyFont="1" applyFill="1" applyBorder="1"/>
    <xf numFmtId="0" fontId="10" fillId="0" borderId="11" xfId="20" applyBorder="1" applyAlignment="1">
      <alignment wrapText="1"/>
      <protection/>
    </xf>
    <xf numFmtId="3" fontId="9" fillId="4" borderId="8" xfId="20" applyNumberFormat="1" applyFont="1" applyFill="1" applyBorder="1" applyAlignment="1">
      <alignment wrapText="1"/>
      <protection/>
    </xf>
    <xf numFmtId="9" fontId="0" fillId="0" borderId="8" xfId="21" applyFont="1" applyFill="1" applyBorder="1"/>
    <xf numFmtId="0" fontId="10" fillId="0" borderId="12" xfId="20" applyBorder="1" applyAlignment="1">
      <alignment wrapText="1"/>
      <protection/>
    </xf>
    <xf numFmtId="3" fontId="9" fillId="5" borderId="13" xfId="20" applyNumberFormat="1" applyFont="1" applyFill="1" applyBorder="1" applyAlignment="1">
      <alignment wrapText="1"/>
      <protection/>
    </xf>
    <xf numFmtId="9" fontId="0" fillId="0" borderId="13" xfId="21" applyFont="1" applyBorder="1"/>
    <xf numFmtId="0" fontId="10" fillId="0" borderId="14" xfId="20" applyBorder="1" applyAlignment="1">
      <alignment wrapText="1"/>
      <protection/>
    </xf>
    <xf numFmtId="0" fontId="24" fillId="6" borderId="15" xfId="20" applyFont="1" applyFill="1" applyBorder="1" applyAlignment="1">
      <alignment horizontal="center" vertical="center" wrapText="1"/>
      <protection/>
    </xf>
    <xf numFmtId="0" fontId="10" fillId="0" borderId="16" xfId="20" applyFill="1" applyBorder="1" applyAlignment="1">
      <alignment wrapText="1"/>
      <protection/>
    </xf>
    <xf numFmtId="3" fontId="22" fillId="7" borderId="8" xfId="20" applyNumberFormat="1" applyFont="1" applyFill="1" applyBorder="1" applyAlignment="1">
      <alignment wrapText="1"/>
      <protection/>
    </xf>
    <xf numFmtId="9" fontId="0" fillId="0" borderId="8" xfId="21" applyFont="1" applyBorder="1"/>
    <xf numFmtId="0" fontId="10" fillId="0" borderId="8" xfId="20" applyBorder="1" applyAlignment="1">
      <alignment wrapText="1"/>
      <protection/>
    </xf>
    <xf numFmtId="0" fontId="10" fillId="0" borderId="8" xfId="20" applyFill="1" applyBorder="1" applyAlignment="1">
      <alignment wrapText="1"/>
      <protection/>
    </xf>
    <xf numFmtId="0" fontId="10" fillId="0" borderId="16" xfId="20" applyBorder="1" applyAlignment="1">
      <alignment wrapText="1"/>
      <protection/>
    </xf>
    <xf numFmtId="0" fontId="9" fillId="2" borderId="17" xfId="20" applyFont="1" applyFill="1" applyBorder="1" applyAlignment="1">
      <alignment horizontal="center"/>
      <protection/>
    </xf>
    <xf numFmtId="0" fontId="9" fillId="0" borderId="13" xfId="20" applyFont="1" applyBorder="1" applyAlignment="1">
      <alignment wrapText="1"/>
      <protection/>
    </xf>
    <xf numFmtId="0" fontId="10" fillId="0" borderId="13" xfId="20" applyBorder="1">
      <alignment/>
      <protection/>
    </xf>
    <xf numFmtId="0" fontId="15" fillId="0" borderId="18" xfId="20" applyFont="1" applyBorder="1" applyAlignment="1">
      <alignment horizontal="left" wrapText="1"/>
      <protection/>
    </xf>
    <xf numFmtId="0" fontId="10" fillId="5" borderId="19" xfId="20" applyFill="1" applyBorder="1" applyAlignment="1">
      <alignment wrapText="1"/>
      <protection/>
    </xf>
    <xf numFmtId="0" fontId="10" fillId="0" borderId="19" xfId="20" applyBorder="1" applyAlignment="1">
      <alignment horizontal="center"/>
      <protection/>
    </xf>
    <xf numFmtId="0" fontId="10" fillId="0" borderId="20" xfId="20" applyBorder="1">
      <alignment/>
      <protection/>
    </xf>
    <xf numFmtId="0" fontId="10" fillId="0" borderId="5" xfId="20" applyBorder="1" applyAlignment="1">
      <alignment horizontal="left"/>
      <protection/>
    </xf>
    <xf numFmtId="0" fontId="10" fillId="0" borderId="21" xfId="20" applyBorder="1" applyAlignment="1">
      <alignment horizontal="left"/>
      <protection/>
    </xf>
    <xf numFmtId="0" fontId="10" fillId="0" borderId="10" xfId="20" applyBorder="1" applyAlignment="1">
      <alignment wrapText="1"/>
      <protection/>
    </xf>
    <xf numFmtId="0" fontId="10" fillId="0" borderId="16" xfId="20" applyBorder="1" applyAlignment="1">
      <alignment horizontal="left"/>
      <protection/>
    </xf>
    <xf numFmtId="0" fontId="10" fillId="0" borderId="8" xfId="20" applyBorder="1">
      <alignment/>
      <protection/>
    </xf>
    <xf numFmtId="0" fontId="10" fillId="0" borderId="12" xfId="20" applyBorder="1">
      <alignment/>
      <protection/>
    </xf>
    <xf numFmtId="14" fontId="21" fillId="8" borderId="0" xfId="20" applyNumberFormat="1" applyFont="1" applyFill="1" applyBorder="1">
      <alignment/>
      <protection/>
    </xf>
    <xf numFmtId="0" fontId="20" fillId="0" borderId="22" xfId="20" applyFont="1" applyBorder="1">
      <alignment/>
      <protection/>
    </xf>
    <xf numFmtId="0" fontId="2" fillId="0" borderId="23" xfId="0" applyFont="1" applyFill="1" applyBorder="1" applyAlignment="1">
      <alignment horizontal="center" wrapText="1"/>
    </xf>
    <xf numFmtId="0" fontId="0" fillId="0" borderId="23" xfId="0" applyBorder="1"/>
    <xf numFmtId="3" fontId="0" fillId="0" borderId="23" xfId="0" applyNumberFormat="1" applyBorder="1"/>
    <xf numFmtId="3" fontId="5" fillId="0" borderId="23" xfId="0" applyNumberFormat="1" applyFont="1" applyBorder="1"/>
    <xf numFmtId="0" fontId="2" fillId="0" borderId="8" xfId="0" applyFont="1" applyBorder="1"/>
    <xf numFmtId="0" fontId="2" fillId="0" borderId="8" xfId="0" applyFont="1" applyBorder="1" applyAlignment="1">
      <alignment horizontal="center"/>
    </xf>
    <xf numFmtId="0" fontId="0" fillId="0" borderId="8" xfId="0" applyFont="1" applyBorder="1"/>
    <xf numFmtId="3" fontId="0" fillId="0" borderId="8" xfId="0" applyNumberFormat="1" applyFont="1" applyBorder="1"/>
    <xf numFmtId="0" fontId="0" fillId="0" borderId="8" xfId="0" applyFont="1" applyFill="1" applyBorder="1"/>
    <xf numFmtId="10" fontId="0" fillId="0" borderId="8" xfId="0" applyNumberFormat="1" applyFill="1" applyBorder="1"/>
    <xf numFmtId="10" fontId="10" fillId="2" borderId="2" xfId="0" applyNumberFormat="1" applyFont="1" applyFill="1" applyBorder="1"/>
    <xf numFmtId="0" fontId="9" fillId="2" borderId="0" xfId="0" applyFont="1" applyFill="1" applyBorder="1"/>
    <xf numFmtId="3" fontId="9" fillId="2" borderId="0" xfId="0" applyNumberFormat="1" applyFont="1" applyFill="1" applyBorder="1"/>
    <xf numFmtId="0" fontId="9" fillId="2" borderId="0" xfId="0" applyFont="1" applyFill="1" applyBorder="1" applyAlignment="1">
      <alignment horizontal="center" vertical="center" wrapText="1"/>
    </xf>
    <xf numFmtId="0" fontId="15" fillId="0" borderId="8" xfId="0" applyFont="1" applyBorder="1"/>
    <xf numFmtId="1" fontId="15" fillId="0" borderId="8" xfId="0" applyNumberFormat="1" applyFont="1" applyBorder="1"/>
    <xf numFmtId="0" fontId="9" fillId="2" borderId="8" xfId="0" applyFont="1" applyFill="1" applyBorder="1"/>
    <xf numFmtId="0" fontId="10" fillId="2" borderId="8" xfId="0" applyFont="1" applyFill="1" applyBorder="1" applyAlignment="1">
      <alignment wrapText="1"/>
    </xf>
    <xf numFmtId="0" fontId="8" fillId="0" borderId="8" xfId="0" applyFont="1" applyBorder="1" applyAlignment="1">
      <alignment horizontal="right" vertical="center"/>
    </xf>
    <xf numFmtId="3" fontId="8" fillId="0" borderId="8" xfId="0" applyNumberFormat="1" applyFont="1" applyBorder="1" applyAlignment="1">
      <alignment horizontal="right" vertical="center"/>
    </xf>
    <xf numFmtId="0" fontId="12" fillId="0" borderId="8" xfId="0" applyFont="1" applyBorder="1" applyAlignment="1">
      <alignment horizontal="center" vertical="center" wrapText="1"/>
    </xf>
    <xf numFmtId="3" fontId="13" fillId="0" borderId="8" xfId="0" applyNumberFormat="1" applyFont="1" applyBorder="1" applyAlignment="1">
      <alignment vertical="center" wrapText="1"/>
    </xf>
    <xf numFmtId="49" fontId="8" fillId="0" borderId="8" xfId="0" applyNumberFormat="1" applyFont="1" applyBorder="1"/>
    <xf numFmtId="0" fontId="12" fillId="0" borderId="8" xfId="0" applyFont="1" applyBorder="1" applyAlignment="1">
      <alignment horizontal="left" vertical="center" indent="6"/>
    </xf>
    <xf numFmtId="3" fontId="13" fillId="0" borderId="8" xfId="0" applyNumberFormat="1" applyFont="1" applyBorder="1" applyAlignment="1">
      <alignment horizontal="right" vertical="center" wrapText="1"/>
    </xf>
    <xf numFmtId="0" fontId="13" fillId="0" borderId="8" xfId="0" applyFont="1" applyBorder="1" applyAlignment="1">
      <alignment horizontal="right" vertical="center" wrapText="1"/>
    </xf>
    <xf numFmtId="0" fontId="10" fillId="0" borderId="24" xfId="20" applyBorder="1" applyAlignment="1">
      <alignment horizontal="left" wrapText="1"/>
      <protection/>
    </xf>
    <xf numFmtId="0" fontId="10" fillId="0" borderId="9" xfId="20" applyBorder="1" applyAlignment="1">
      <alignment horizontal="left" wrapText="1"/>
      <protection/>
    </xf>
    <xf numFmtId="0" fontId="10" fillId="0" borderId="6" xfId="20" applyBorder="1" applyAlignment="1">
      <alignment horizontal="left" wrapText="1"/>
      <protection/>
    </xf>
    <xf numFmtId="0" fontId="23" fillId="0" borderId="25" xfId="20" applyFont="1" applyBorder="1" applyAlignment="1">
      <alignment horizontal="left" vertical="center" wrapText="1"/>
      <protection/>
    </xf>
    <xf numFmtId="0" fontId="23" fillId="0" borderId="18" xfId="20" applyFont="1" applyBorder="1" applyAlignment="1">
      <alignment horizontal="left" vertical="center" wrapText="1"/>
      <protection/>
    </xf>
    <xf numFmtId="0" fontId="17" fillId="9" borderId="22" xfId="20" applyFont="1" applyFill="1" applyBorder="1" applyAlignment="1">
      <alignment horizontal="left" vertical="center"/>
      <protection/>
    </xf>
    <xf numFmtId="0" fontId="17" fillId="9" borderId="0" xfId="20" applyFont="1" applyFill="1" applyBorder="1" applyAlignment="1">
      <alignment horizontal="left" vertical="center"/>
      <protection/>
    </xf>
    <xf numFmtId="0" fontId="17" fillId="9" borderId="5" xfId="20" applyFont="1" applyFill="1" applyBorder="1" applyAlignment="1">
      <alignment horizontal="left" vertical="center"/>
      <protection/>
    </xf>
    <xf numFmtId="0" fontId="17" fillId="9" borderId="3" xfId="20" applyFont="1" applyFill="1" applyBorder="1" applyAlignment="1">
      <alignment horizontal="left" vertical="center" wrapText="1"/>
      <protection/>
    </xf>
    <xf numFmtId="0" fontId="17" fillId="9" borderId="1" xfId="20" applyFont="1" applyFill="1" applyBorder="1" applyAlignment="1">
      <alignment horizontal="left" vertical="center"/>
      <protection/>
    </xf>
    <xf numFmtId="0" fontId="17" fillId="9" borderId="4" xfId="20" applyFont="1" applyFill="1" applyBorder="1" applyAlignment="1">
      <alignment horizontal="left" vertical="center"/>
      <protection/>
    </xf>
    <xf numFmtId="0" fontId="9" fillId="0" borderId="26" xfId="20" applyFont="1" applyBorder="1" applyAlignment="1">
      <alignment horizontal="center"/>
      <protection/>
    </xf>
    <xf numFmtId="0" fontId="9" fillId="0" borderId="27" xfId="20" applyFont="1" applyBorder="1" applyAlignment="1">
      <alignment horizontal="center"/>
      <protection/>
    </xf>
    <xf numFmtId="0" fontId="9" fillId="0" borderId="28" xfId="20" applyFont="1" applyBorder="1" applyAlignment="1">
      <alignment horizontal="center"/>
      <protection/>
    </xf>
    <xf numFmtId="0" fontId="10" fillId="0" borderId="29" xfId="20" applyBorder="1" applyAlignment="1">
      <alignment horizontal="left" vertical="center"/>
      <protection/>
    </xf>
    <xf numFmtId="0" fontId="10" fillId="0" borderId="30" xfId="20" applyBorder="1" applyAlignment="1">
      <alignment horizontal="left" vertical="center"/>
      <protection/>
    </xf>
    <xf numFmtId="0" fontId="10" fillId="0" borderId="22" xfId="20" applyBorder="1" applyAlignment="1">
      <alignment horizontal="left" vertical="center"/>
      <protection/>
    </xf>
    <xf numFmtId="0" fontId="10" fillId="0" borderId="31" xfId="20" applyBorder="1" applyAlignment="1">
      <alignment horizontal="left" vertical="center"/>
      <protection/>
    </xf>
    <xf numFmtId="0" fontId="10" fillId="0" borderId="32" xfId="20" applyBorder="1" applyAlignment="1">
      <alignment horizontal="left" vertical="center"/>
      <protection/>
    </xf>
    <xf numFmtId="0" fontId="10" fillId="0" borderId="33" xfId="20" applyBorder="1" applyAlignment="1">
      <alignment horizontal="left" vertical="center"/>
      <protection/>
    </xf>
    <xf numFmtId="0" fontId="9" fillId="0" borderId="24" xfId="20" applyFont="1" applyBorder="1" applyAlignment="1">
      <alignment horizontal="center"/>
      <protection/>
    </xf>
    <xf numFmtId="0" fontId="9" fillId="0" borderId="9" xfId="20" applyFont="1" applyBorder="1" applyAlignment="1">
      <alignment horizontal="center"/>
      <protection/>
    </xf>
    <xf numFmtId="0" fontId="9" fillId="0" borderId="6" xfId="20" applyFont="1" applyBorder="1" applyAlignment="1">
      <alignment horizontal="center"/>
      <protection/>
    </xf>
    <xf numFmtId="0" fontId="10" fillId="0" borderId="22" xfId="20" applyBorder="1" applyAlignment="1">
      <alignment horizontal="center"/>
      <protection/>
    </xf>
    <xf numFmtId="0" fontId="10" fillId="0" borderId="32" xfId="20" applyBorder="1" applyAlignment="1">
      <alignment horizontal="center"/>
      <protection/>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32" xfId="0" applyFont="1" applyBorder="1" applyAlignment="1">
      <alignment horizontal="center" vertical="center" wrapText="1"/>
    </xf>
    <xf numFmtId="0" fontId="6" fillId="10" borderId="0" xfId="0" applyFont="1" applyFill="1" applyAlignment="1">
      <alignment horizontal="center" vertical="center"/>
    </xf>
    <xf numFmtId="0" fontId="6" fillId="10" borderId="2" xfId="0" applyFont="1" applyFill="1" applyBorder="1" applyAlignment="1">
      <alignment horizontal="center" vertical="center"/>
    </xf>
    <xf numFmtId="0" fontId="2" fillId="0" borderId="8" xfId="0" applyFont="1" applyBorder="1" applyAlignment="1">
      <alignment horizontal="center"/>
    </xf>
    <xf numFmtId="0" fontId="6" fillId="10" borderId="8" xfId="0" applyFont="1" applyFill="1" applyBorder="1" applyAlignment="1">
      <alignment horizontal="center" vertical="center"/>
    </xf>
    <xf numFmtId="0" fontId="6" fillId="11" borderId="0" xfId="0" applyFont="1" applyFill="1" applyAlignment="1">
      <alignment horizontal="center" vertical="center"/>
    </xf>
    <xf numFmtId="0" fontId="2" fillId="0" borderId="0" xfId="0" applyFont="1" applyBorder="1" applyAlignment="1">
      <alignment horizontal="center" vertical="center"/>
    </xf>
    <xf numFmtId="0" fontId="25" fillId="10" borderId="36" xfId="0" applyFont="1" applyFill="1" applyBorder="1" applyAlignment="1">
      <alignment horizontal="center" vertical="center"/>
    </xf>
    <xf numFmtId="0" fontId="25" fillId="10" borderId="0" xfId="0" applyFont="1" applyFill="1" applyBorder="1" applyAlignment="1">
      <alignment horizontal="center" vertical="center"/>
    </xf>
    <xf numFmtId="0" fontId="10" fillId="0" borderId="22" xfId="0" applyFont="1" applyBorder="1" applyAlignment="1">
      <alignment horizontal="center" vertical="center"/>
    </xf>
    <xf numFmtId="0" fontId="10" fillId="0" borderId="32" xfId="0" applyFont="1" applyBorder="1" applyAlignment="1">
      <alignment horizontal="center" vertical="center"/>
    </xf>
    <xf numFmtId="0" fontId="10" fillId="0" borderId="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32" xfId="0" applyFont="1" applyFill="1" applyBorder="1" applyAlignment="1">
      <alignment horizontal="center" vertical="center"/>
    </xf>
    <xf numFmtId="0" fontId="9" fillId="11" borderId="0" xfId="0" applyFont="1" applyFill="1" applyAlignment="1">
      <alignment horizontal="center" vertical="center"/>
    </xf>
    <xf numFmtId="0" fontId="9" fillId="10" borderId="0" xfId="0" applyFont="1" applyFill="1" applyAlignment="1">
      <alignment horizontal="center" vertical="center"/>
    </xf>
    <xf numFmtId="0" fontId="10" fillId="0" borderId="3"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2" xfId="0" applyFont="1" applyFill="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32" xfId="0" applyFont="1" applyBorder="1" applyAlignment="1">
      <alignment horizontal="center" vertical="center"/>
    </xf>
    <xf numFmtId="0" fontId="11" fillId="10" borderId="0" xfId="0" applyFont="1" applyFill="1" applyAlignment="1">
      <alignment horizontal="center"/>
    </xf>
    <xf numFmtId="0" fontId="8" fillId="0" borderId="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2" xfId="0" applyFont="1" applyBorder="1" applyAlignment="1">
      <alignment horizontal="center" vertical="center" wrapText="1"/>
    </xf>
    <xf numFmtId="0" fontId="11" fillId="11" borderId="0" xfId="0" applyFont="1" applyFill="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Percent 2" xfId="21"/>
  </cellStyles>
  <dxfs count="15">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font>
      <fill>
        <patternFill>
          <bgColor rgb="FF00B050"/>
        </patternFill>
      </fill>
      <border/>
    </dxf>
    <dxf>
      <font>
        <color rgb="FF006100"/>
      </font>
      <fill>
        <patternFill>
          <bgColor rgb="FFC6EF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3200" u="none" baseline="0">
                <a:latin typeface="Calibri"/>
                <a:ea typeface="Calibri"/>
                <a:cs typeface="Calibri"/>
              </a:rPr>
              <a:t>Reference</a:t>
            </a:r>
            <a:r>
              <a:rPr lang="en-US" cap="none" sz="3200" u="none" baseline="0">
                <a:latin typeface="Calibri"/>
                <a:ea typeface="Calibri"/>
                <a:cs typeface="Calibri"/>
              </a:rPr>
              <a:t> MEB by Sector (%)</a:t>
            </a:r>
            <a:r>
              <a:rPr lang="en-US" cap="none" sz="3200" u="none" baseline="0">
                <a:latin typeface="Calibri"/>
                <a:ea typeface="Calibri"/>
                <a:cs typeface="Calibri"/>
              </a:rPr>
              <a:t>
Household-5 members </a:t>
            </a:r>
            <a:r>
              <a:rPr lang="en-US" cap="none" sz="3200" u="none" baseline="0">
                <a:latin typeface="Calibri"/>
                <a:ea typeface="Calibri"/>
                <a:cs typeface="Calibri"/>
              </a:rPr>
              <a:t>
 </a:t>
            </a:r>
          </a:p>
        </c:rich>
      </c:tx>
      <c:layout/>
      <c:overlay val="0"/>
      <c:spPr>
        <a:noFill/>
        <a:ln>
          <a:noFill/>
        </a:ln>
      </c:spPr>
    </c:title>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Pt>
            <c:idx val="9"/>
            <c:spPr>
              <a:solidFill>
                <a:schemeClr val="accent4">
                  <a:lumMod val="60000"/>
                </a:schemeClr>
              </a:solidFill>
              <a:ln w="19050">
                <a:solidFill>
                  <a:schemeClr val="bg1"/>
                </a:solidFill>
              </a:ln>
            </c:spPr>
          </c:dPt>
          <c:dPt>
            <c:idx val="10"/>
            <c:spPr>
              <a:solidFill>
                <a:schemeClr val="accent5">
                  <a:lumMod val="60000"/>
                </a:schemeClr>
              </a:solidFill>
              <a:ln w="19050">
                <a:solidFill>
                  <a:schemeClr val="bg1"/>
                </a:solidFill>
              </a:ln>
            </c:spPr>
          </c:dPt>
          <c:dPt>
            <c:idx val="11"/>
            <c:spPr>
              <a:solidFill>
                <a:schemeClr val="accent6">
                  <a:lumMod val="60000"/>
                </a:schemeClr>
              </a:solidFill>
              <a:ln w="19050">
                <a:solidFill>
                  <a:schemeClr val="bg1"/>
                </a:solidFill>
              </a:ln>
            </c:spPr>
          </c:dPt>
          <c:dLbls>
            <c:numFmt formatCode="General" sourceLinked="1"/>
            <c:spPr>
              <a:noFill/>
              <a:ln>
                <a:noFill/>
              </a:ln>
            </c:spPr>
            <c:txPr>
              <a:bodyPr vert="horz" rot="0" anchor="ctr">
                <a:spAutoFit/>
              </a:bodyPr>
              <a:lstStyle/>
              <a:p>
                <a:pPr algn="ctr">
                  <a:defRPr lang="en-US" cap="none" sz="1800" b="0" i="0" u="none" baseline="0">
                    <a:solidFill>
                      <a:schemeClr val="bg1"/>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MEB!$B$13:$B$24</c:f>
              <c:strCache/>
            </c:strRef>
          </c:cat>
          <c:val>
            <c:numRef>
              <c:f>MEB!$C$13:$C$24</c:f>
              <c:numCache/>
            </c:numRef>
          </c:val>
        </c:ser>
        <c:holeSize val="75"/>
      </c:doughnutChart>
      <c:spPr>
        <a:noFill/>
        <a:ln>
          <a:noFill/>
        </a:ln>
      </c:spPr>
    </c:plotArea>
    <c:legend>
      <c:legendPos val="r"/>
      <c:layout>
        <c:manualLayout>
          <c:xMode val="edge"/>
          <c:yMode val="edge"/>
          <c:x val="0.52975"/>
          <c:y val="0.327"/>
          <c:w val="0.4595"/>
          <c:h val="0.625"/>
        </c:manualLayout>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stacked"/>
        <c:varyColors val="0"/>
        <c:ser>
          <c:idx val="1"/>
          <c:order val="0"/>
          <c:tx>
            <c:strRef>
              <c:f>'Graph workings'!$B$6</c:f>
              <c:strCache>
                <c:ptCount val="1"/>
                <c:pt idx="0">
                  <c:v>Food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workings'!$B$7,'Graph workings'!$B$8)</c:f>
              <c:numCache/>
            </c:numRef>
          </c:val>
        </c:ser>
        <c:ser>
          <c:idx val="2"/>
          <c:order val="1"/>
          <c:tx>
            <c:strRef>
              <c:f>'Graph workings'!$C$6</c:f>
              <c:strCache>
                <c:ptCount val="1"/>
                <c:pt idx="0">
                  <c:v>Hygiene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workings'!$C$7,'Graph workings'!$C$8)</c:f>
              <c:numCache/>
            </c:numRef>
          </c:val>
        </c:ser>
        <c:ser>
          <c:idx val="3"/>
          <c:order val="2"/>
          <c:tx>
            <c:strRef>
              <c:f>'Graph workings'!$D$6</c:f>
              <c:strCache>
                <c:ptCount val="1"/>
                <c:pt idx="0">
                  <c:v>Water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workings'!$D$7,'Graph workings'!$D$8)</c:f>
              <c:numCache/>
            </c:numRef>
          </c:val>
        </c:ser>
        <c:ser>
          <c:idx val="4"/>
          <c:order val="3"/>
          <c:tx>
            <c:strRef>
              <c:f>'Graph workings'!$E$6</c:f>
              <c:strCache>
                <c:ptCount val="1"/>
                <c:pt idx="0">
                  <c:v>Clothing</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workings'!$E$7,'Graph workings'!$E$8)</c:f>
              <c:numCache/>
            </c:numRef>
          </c:val>
        </c:ser>
        <c:ser>
          <c:idx val="5"/>
          <c:order val="4"/>
          <c:tx>
            <c:strRef>
              <c:f>'Graph workings'!$F$6</c:f>
              <c:strCache>
                <c:ptCount val="1"/>
                <c:pt idx="0">
                  <c:v>Health </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workings'!$F$7,'Graph workings'!$F$8)</c:f>
              <c:numCache/>
            </c:numRef>
          </c:val>
        </c:ser>
        <c:ser>
          <c:idx val="6"/>
          <c:order val="5"/>
          <c:tx>
            <c:strRef>
              <c:f>'Graph workings'!$G$6</c:f>
              <c:strCache>
                <c:ptCount val="1"/>
                <c:pt idx="0">
                  <c:v>Energy </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workings'!$G$7,'Graph workings'!$G$8)</c:f>
              <c:numCache/>
            </c:numRef>
          </c:val>
        </c:ser>
        <c:ser>
          <c:idx val="7"/>
          <c:order val="6"/>
          <c:tx>
            <c:strRef>
              <c:f>'Graph workings'!$H$6</c:f>
              <c:strCache>
                <c:ptCount val="1"/>
                <c:pt idx="0">
                  <c:v>Communication </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workings'!$H$7,'Graph workings'!$H$8)</c:f>
              <c:numCache/>
            </c:numRef>
          </c:val>
        </c:ser>
        <c:ser>
          <c:idx val="8"/>
          <c:order val="7"/>
          <c:tx>
            <c:strRef>
              <c:f>'Graph workings'!$I$6</c:f>
              <c:strCache>
                <c:ptCount val="1"/>
                <c:pt idx="0">
                  <c:v>Transportation </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workings'!$I$7,'Graph workings'!$I$8)</c:f>
              <c:numCache/>
            </c:numRef>
          </c:val>
        </c:ser>
        <c:ser>
          <c:idx val="9"/>
          <c:order val="8"/>
          <c:tx>
            <c:strRef>
              <c:f>'Graph workings'!$J$6</c:f>
              <c:strCache>
                <c:ptCount val="1"/>
                <c:pt idx="0">
                  <c:v>Protection </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workings'!$J$7,'Graph workings'!$J$8)</c:f>
              <c:numCache/>
            </c:numRef>
          </c:val>
        </c:ser>
        <c:ser>
          <c:idx val="10"/>
          <c:order val="9"/>
          <c:tx>
            <c:strRef>
              <c:f>'Graph workings'!$K$6</c:f>
              <c:strCache>
                <c:ptCount val="1"/>
                <c:pt idx="0">
                  <c:v>Education</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workings'!$K$7,'Graph workings'!$K$8)</c:f>
              <c:numCache/>
            </c:numRef>
          </c:val>
        </c:ser>
        <c:ser>
          <c:idx val="11"/>
          <c:order val="10"/>
          <c:tx>
            <c:strRef>
              <c:f>'Graph workings'!$L$6</c:f>
              <c:strCache>
                <c:ptCount val="1"/>
                <c:pt idx="0">
                  <c:v>Livelihoods</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workings'!$L$7,'Graph workings'!$L$8)</c:f>
              <c:numCache/>
            </c:numRef>
          </c:val>
        </c:ser>
        <c:ser>
          <c:idx val="12"/>
          <c:order val="11"/>
          <c:tx>
            <c:strRef>
              <c:f>'Graph workings'!$M$6</c:f>
              <c:strCache>
                <c:ptCount val="1"/>
                <c:pt idx="0">
                  <c:v>Crosscutting issues</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workings'!$M$7,'Graph workings'!$M$8)</c:f>
              <c:numCache/>
            </c:numRef>
          </c:val>
        </c:ser>
        <c:ser>
          <c:idx val="13"/>
          <c:order val="12"/>
          <c:tx>
            <c:strRef>
              <c:f>'Graph workings'!$N$6</c:f>
              <c:strCache>
                <c:ptCount val="1"/>
                <c:pt idx="0">
                  <c:v>Household items</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workings'!$N$7,'Graph workings'!$N$8)</c:f>
              <c:numCache/>
            </c:numRef>
          </c:val>
        </c:ser>
        <c:ser>
          <c:idx val="14"/>
          <c:order val="13"/>
          <c:tx>
            <c:strRef>
              <c:f>'Graph workings'!$O$6</c:f>
              <c:strCache>
                <c:ptCount val="1"/>
                <c:pt idx="0">
                  <c:v>Shelter</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workings'!$O$7,'Graph workings'!$O$8)</c:f>
              <c:numCache/>
            </c:numRef>
          </c:val>
        </c:ser>
        <c:ser>
          <c:idx val="15"/>
          <c:order val="14"/>
          <c:tx>
            <c:strRef>
              <c:f>'Graph workings'!$P$6</c:f>
              <c:strCache>
                <c:ptCount val="1"/>
                <c:pt idx="0">
                  <c:v>Personal expenditure</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workings'!$A$7,'Graph workings'!$A$8)</c:f>
              <c:strCache/>
            </c:strRef>
          </c:cat>
          <c:val>
            <c:numRef>
              <c:f>('Graph workings'!$P$7,'Graph workings'!$P$8)</c:f>
              <c:numCache/>
            </c:numRef>
          </c:val>
        </c:ser>
        <c:overlap val="100"/>
        <c:axId val="1769571"/>
        <c:axId val="15926140"/>
      </c:barChart>
      <c:catAx>
        <c:axId val="1769571"/>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926140"/>
        <c:crosses val="autoZero"/>
        <c:auto val="1"/>
        <c:lblOffset val="100"/>
        <c:noMultiLvlLbl val="0"/>
      </c:catAx>
      <c:valAx>
        <c:axId val="15926140"/>
        <c:scaling>
          <c:orientation val="minMax"/>
        </c:scaling>
        <c:axPos val="b"/>
        <c:delete val="1"/>
        <c:majorTickMark val="out"/>
        <c:minorTickMark val="none"/>
        <c:tickLblPos val="nextTo"/>
        <c:crossAx val="176957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bar"/>
        <c:grouping val="stacked"/>
        <c:varyColors val="0"/>
        <c:ser>
          <c:idx val="0"/>
          <c:order val="0"/>
          <c:tx>
            <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Lit>
              <c:ptCount val="1"/>
              <c:pt idx="0">
                <c:v>1</c:v>
              </c:pt>
            </c:numLit>
          </c:val>
        </c:ser>
        <c:ser>
          <c:idx val="1"/>
          <c:order val="1"/>
          <c:tx>
            <c:strRef>
              <c:f>'Graph workings'!$B$6</c:f>
              <c:strCache>
                <c:ptCount val="1"/>
                <c:pt idx="0">
                  <c:v>Food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workings'!$B$7:$B$7</c:f>
              <c:numCache/>
            </c:numRef>
          </c:val>
        </c:ser>
        <c:ser>
          <c:idx val="2"/>
          <c:order val="2"/>
          <c:tx>
            <c:strRef>
              <c:f>'Graph workings'!$C$6</c:f>
              <c:strCache>
                <c:ptCount val="1"/>
                <c:pt idx="0">
                  <c:v>Hygiene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workings'!$C$7:$C$7</c:f>
              <c:numCache/>
            </c:numRef>
          </c:val>
        </c:ser>
        <c:ser>
          <c:idx val="3"/>
          <c:order val="3"/>
          <c:tx>
            <c:strRef>
              <c:f>'Graph workings'!$D$6</c:f>
              <c:strCache>
                <c:ptCount val="1"/>
                <c:pt idx="0">
                  <c:v>Water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workings'!$D$7:$D$7</c:f>
              <c:numCache/>
            </c:numRef>
          </c:val>
        </c:ser>
        <c:ser>
          <c:idx val="4"/>
          <c:order val="4"/>
          <c:tx>
            <c:strRef>
              <c:f>'Graph workings'!$E$6</c:f>
              <c:strCache>
                <c:ptCount val="1"/>
                <c:pt idx="0">
                  <c:v>Clothing</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workings'!$E$7:$E$7</c:f>
              <c:numCache/>
            </c:numRef>
          </c:val>
        </c:ser>
        <c:ser>
          <c:idx val="5"/>
          <c:order val="5"/>
          <c:tx>
            <c:strRef>
              <c:f>'Graph workings'!$F$6</c:f>
              <c:strCache>
                <c:ptCount val="1"/>
                <c:pt idx="0">
                  <c:v>Health </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workings'!$F$7:$F$7</c:f>
              <c:numCache/>
            </c:numRef>
          </c:val>
        </c:ser>
        <c:ser>
          <c:idx val="6"/>
          <c:order val="6"/>
          <c:tx>
            <c:strRef>
              <c:f>'Graph workings'!$G$6</c:f>
              <c:strCache>
                <c:ptCount val="1"/>
                <c:pt idx="0">
                  <c:v>Energy </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workings'!$G$7:$G$7</c:f>
              <c:numCache/>
            </c:numRef>
          </c:val>
        </c:ser>
        <c:ser>
          <c:idx val="7"/>
          <c:order val="7"/>
          <c:tx>
            <c:strRef>
              <c:f>'Graph workings'!$H$6</c:f>
              <c:strCache>
                <c:ptCount val="1"/>
                <c:pt idx="0">
                  <c:v>Communication </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workings'!$H$7:$H$7</c:f>
              <c:numCache/>
            </c:numRef>
          </c:val>
        </c:ser>
        <c:ser>
          <c:idx val="8"/>
          <c:order val="8"/>
          <c:tx>
            <c:strRef>
              <c:f>'Graph workings'!$I$6</c:f>
              <c:strCache>
                <c:ptCount val="1"/>
                <c:pt idx="0">
                  <c:v>Transportation </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workings'!$I$7:$I$7</c:f>
              <c:numCache/>
            </c:numRef>
          </c:val>
        </c:ser>
        <c:ser>
          <c:idx val="9"/>
          <c:order val="9"/>
          <c:tx>
            <c:strRef>
              <c:f>'Graph workings'!$J$6</c:f>
              <c:strCache>
                <c:ptCount val="1"/>
                <c:pt idx="0">
                  <c:v>Protection </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workings'!$J$7:$J$7</c:f>
              <c:numCache/>
            </c:numRef>
          </c:val>
        </c:ser>
        <c:ser>
          <c:idx val="10"/>
          <c:order val="10"/>
          <c:tx>
            <c:strRef>
              <c:f>'Graph workings'!$K$6</c:f>
              <c:strCache>
                <c:ptCount val="1"/>
                <c:pt idx="0">
                  <c:v>Education</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workings'!$K$7:$K$7</c:f>
              <c:numCache/>
            </c:numRef>
          </c:val>
        </c:ser>
        <c:ser>
          <c:idx val="11"/>
          <c:order val="11"/>
          <c:tx>
            <c:strRef>
              <c:f>'Graph workings'!$L$6</c:f>
              <c:strCache>
                <c:ptCount val="1"/>
                <c:pt idx="0">
                  <c:v>Livelihoods</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workings'!$L$7:$L$7</c:f>
              <c:numCache/>
            </c:numRef>
          </c:val>
        </c:ser>
        <c:ser>
          <c:idx val="12"/>
          <c:order val="12"/>
          <c:tx>
            <c:strRef>
              <c:f>'Graph workings'!$M$6</c:f>
              <c:strCache>
                <c:ptCount val="1"/>
                <c:pt idx="0">
                  <c:v>Crosscutting issues</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workings'!$A$7:$A$7</c:f>
              <c:strCache/>
            </c:strRef>
          </c:cat>
          <c:val>
            <c:numRef>
              <c:f>'Graph workings'!$M$7:$M$7</c:f>
              <c:numCache/>
            </c:numRef>
          </c:val>
        </c:ser>
        <c:overlap val="100"/>
        <c:axId val="9117533"/>
        <c:axId val="14948934"/>
      </c:barChart>
      <c:catAx>
        <c:axId val="9117533"/>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948934"/>
        <c:crosses val="autoZero"/>
        <c:auto val="1"/>
        <c:lblOffset val="100"/>
        <c:noMultiLvlLbl val="0"/>
      </c:catAx>
      <c:valAx>
        <c:axId val="14948934"/>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117533"/>
        <c:crosses val="autoZero"/>
        <c:crossBetween val="between"/>
        <c:dispUnits/>
      </c:valAx>
      <c:spPr>
        <a:noFill/>
        <a:ln>
          <a:noFill/>
        </a:ln>
      </c:spPr>
    </c:plotArea>
    <c:legend>
      <c:legendPos val="b"/>
      <c:layout>
        <c:manualLayout>
          <c:xMode val="edge"/>
          <c:yMode val="edge"/>
          <c:x val="0.1225"/>
          <c:y val="0.46"/>
          <c:w val="0.8775"/>
          <c:h val="0.54"/>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1333500</xdr:colOff>
      <xdr:row>1</xdr:row>
      <xdr:rowOff>133350</xdr:rowOff>
    </xdr:from>
    <xdr:ext cx="1638300" cy="44767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086475" y="923925"/>
          <a:ext cx="1638300" cy="447675"/>
        </a:xfrm>
        <a:prstGeom prst="rect">
          <a:avLst/>
        </a:prstGeom>
        <a:ln>
          <a:noFill/>
        </a:ln>
      </xdr:spPr>
    </xdr:pic>
    <xdr:clientData/>
  </xdr:oneCellAnchor>
  <xdr:oneCellAnchor>
    <xdr:from>
      <xdr:col>2</xdr:col>
      <xdr:colOff>295275</xdr:colOff>
      <xdr:row>1</xdr:row>
      <xdr:rowOff>114300</xdr:rowOff>
    </xdr:from>
    <xdr:ext cx="533400" cy="533400"/>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305050" y="904875"/>
          <a:ext cx="533400" cy="533400"/>
        </a:xfrm>
        <a:prstGeom prst="rect">
          <a:avLst/>
        </a:prstGeom>
        <a:ln>
          <a:noFill/>
        </a:ln>
      </xdr:spPr>
    </xdr:pic>
    <xdr:clientData/>
  </xdr:oneCellAnchor>
  <xdr:oneCellAnchor>
    <xdr:from>
      <xdr:col>1</xdr:col>
      <xdr:colOff>876300</xdr:colOff>
      <xdr:row>1</xdr:row>
      <xdr:rowOff>104775</xdr:rowOff>
    </xdr:from>
    <xdr:ext cx="619125" cy="533400"/>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657350" y="895350"/>
          <a:ext cx="619125" cy="53340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27</xdr:col>
      <xdr:colOff>323850</xdr:colOff>
      <xdr:row>54</xdr:row>
      <xdr:rowOff>114300</xdr:rowOff>
    </xdr:to>
    <xdr:graphicFrame macro="">
      <xdr:nvGraphicFramePr>
        <xdr:cNvPr id="2" name="Chart 1"/>
        <xdr:cNvGraphicFramePr/>
      </xdr:nvGraphicFramePr>
      <xdr:xfrm>
        <a:off x="0" y="0"/>
        <a:ext cx="16268700" cy="10401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xdr:row>
      <xdr:rowOff>180975</xdr:rowOff>
    </xdr:from>
    <xdr:to>
      <xdr:col>8</xdr:col>
      <xdr:colOff>0</xdr:colOff>
      <xdr:row>25</xdr:row>
      <xdr:rowOff>180975</xdr:rowOff>
    </xdr:to>
    <xdr:sp macro="" textlink="">
      <xdr:nvSpPr>
        <xdr:cNvPr id="7" name="TextBox 6"/>
        <xdr:cNvSpPr txBox="1"/>
      </xdr:nvSpPr>
      <xdr:spPr>
        <a:xfrm>
          <a:off x="11858625" y="371475"/>
          <a:ext cx="8277225" cy="5076825"/>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b="1"/>
            <a:t>Rational</a:t>
          </a:r>
          <a:r>
            <a:rPr lang="en-GB" sz="1100"/>
            <a:t>: The MEB rationale</a:t>
          </a:r>
          <a:r>
            <a:rPr lang="en-GB" sz="1100" baseline="0"/>
            <a:t> is explained in the MEB harmonization Guidance. The use of this calculator, is to be able to adjust to change in variable and new data. The monthly value and one off value are adjusted. The seasonal and  one off livelihood components are deducted and only the monthly one utilised. </a:t>
          </a:r>
          <a:endParaRPr lang="en-GB" sz="1100"/>
        </a:p>
      </xdr:txBody>
    </xdr:sp>
    <xdr:clientData/>
  </xdr:twoCellAnchor>
  <xdr:twoCellAnchor>
    <xdr:from>
      <xdr:col>4</xdr:col>
      <xdr:colOff>9525</xdr:colOff>
      <xdr:row>29</xdr:row>
      <xdr:rowOff>0</xdr:rowOff>
    </xdr:from>
    <xdr:to>
      <xdr:col>7</xdr:col>
      <xdr:colOff>3076575</xdr:colOff>
      <xdr:row>38</xdr:row>
      <xdr:rowOff>9525</xdr:rowOff>
    </xdr:to>
    <xdr:sp macro="" textlink="">
      <xdr:nvSpPr>
        <xdr:cNvPr id="10" name="TextBox 9"/>
        <xdr:cNvSpPr txBox="1"/>
      </xdr:nvSpPr>
      <xdr:spPr>
        <a:xfrm>
          <a:off x="11849100" y="6029325"/>
          <a:ext cx="8277225" cy="1790700"/>
        </a:xfrm>
        <a:prstGeom prst="rect">
          <a:avLst/>
        </a:prstGeom>
        <a:solidFill>
          <a:srgbClr val="D9D9D9"/>
        </a:solidFill>
        <a:ln w="9525" cmpd="sng">
          <a:solidFill>
            <a:sysClr val="window" lastClr="FFFFFF">
              <a:shade val="50000"/>
            </a:sysClr>
          </a:solidFill>
          <a:headEnd type="none"/>
          <a:tailEnd type="none"/>
        </a:ln>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panose="020F0502020204030204"/>
              <a:ea typeface="+mn-ea"/>
              <a:cs typeface="+mn-cs"/>
            </a:rPr>
            <a:t>Rational</a:t>
          </a: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a:t>
          </a:r>
        </a:p>
      </xdr:txBody>
    </xdr:sp>
    <xdr:clientData/>
  </xdr:twoCellAnchor>
  <xdr:twoCellAnchor>
    <xdr:from>
      <xdr:col>0</xdr:col>
      <xdr:colOff>66675</xdr:colOff>
      <xdr:row>5</xdr:row>
      <xdr:rowOff>104775</xdr:rowOff>
    </xdr:from>
    <xdr:to>
      <xdr:col>3</xdr:col>
      <xdr:colOff>1552575</xdr:colOff>
      <xdr:row>26</xdr:row>
      <xdr:rowOff>28575</xdr:rowOff>
    </xdr:to>
    <xdr:graphicFrame macro="">
      <xdr:nvGraphicFramePr>
        <xdr:cNvPr id="5" name="Chart 4"/>
        <xdr:cNvGraphicFramePr/>
      </xdr:nvGraphicFramePr>
      <xdr:xfrm>
        <a:off x="66675" y="1562100"/>
        <a:ext cx="11763375" cy="3924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17</xdr:row>
      <xdr:rowOff>104775</xdr:rowOff>
    </xdr:from>
    <xdr:to>
      <xdr:col>19</xdr:col>
      <xdr:colOff>161925</xdr:colOff>
      <xdr:row>31</xdr:row>
      <xdr:rowOff>180975</xdr:rowOff>
    </xdr:to>
    <xdr:graphicFrame macro="">
      <xdr:nvGraphicFramePr>
        <xdr:cNvPr id="7" name="Chart 6"/>
        <xdr:cNvGraphicFramePr/>
      </xdr:nvGraphicFramePr>
      <xdr:xfrm>
        <a:off x="10706100" y="3343275"/>
        <a:ext cx="39624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9"/>
  <sheetViews>
    <sheetView view="pageBreakPreview" zoomScale="40" zoomScaleSheetLayoutView="40" workbookViewId="0" topLeftCell="A4">
      <selection activeCell="K19" sqref="K19"/>
    </sheetView>
  </sheetViews>
  <sheetFormatPr defaultColWidth="12.28125" defaultRowHeight="15"/>
  <cols>
    <col min="1" max="1" width="11.7109375" style="154" customWidth="1"/>
    <col min="2" max="2" width="18.421875" style="154" customWidth="1"/>
    <col min="3" max="3" width="21.8515625" style="154" customWidth="1"/>
    <col min="4" max="4" width="19.28125" style="155" customWidth="1"/>
    <col min="5" max="5" width="108.00390625" style="154" customWidth="1"/>
    <col min="6" max="9" width="12.28125" style="154" customWidth="1"/>
    <col min="10" max="10" width="12.28125" style="154" hidden="1" customWidth="1"/>
    <col min="11" max="16384" width="12.28125" style="154" customWidth="1"/>
  </cols>
  <sheetData>
    <row r="1" spans="1:5" ht="62.25" customHeight="1">
      <c r="A1" s="224" t="s">
        <v>211</v>
      </c>
      <c r="B1" s="225"/>
      <c r="C1" s="225"/>
      <c r="D1" s="225"/>
      <c r="E1" s="226"/>
    </row>
    <row r="2" spans="1:5" ht="57.75" customHeight="1">
      <c r="A2" s="221" t="s">
        <v>147</v>
      </c>
      <c r="B2" s="222"/>
      <c r="C2" s="222"/>
      <c r="D2" s="222"/>
      <c r="E2" s="223"/>
    </row>
    <row r="3" spans="1:5" ht="16.2" thickBot="1">
      <c r="A3" s="189" t="s">
        <v>148</v>
      </c>
      <c r="B3" s="188">
        <f ca="1">+TODAY()</f>
        <v>43543</v>
      </c>
      <c r="C3" s="188"/>
      <c r="D3" s="158" t="s">
        <v>149</v>
      </c>
      <c r="E3" s="156"/>
    </row>
    <row r="4" spans="1:5" ht="15">
      <c r="A4" s="239"/>
      <c r="B4" s="227" t="s">
        <v>150</v>
      </c>
      <c r="C4" s="228"/>
      <c r="D4" s="228"/>
      <c r="E4" s="229"/>
    </row>
    <row r="5" spans="1:5" ht="15">
      <c r="A5" s="239"/>
      <c r="B5" s="187" t="s">
        <v>151</v>
      </c>
      <c r="C5" s="186"/>
      <c r="D5" s="172">
        <v>5</v>
      </c>
      <c r="E5" s="185" t="s">
        <v>152</v>
      </c>
    </row>
    <row r="6" spans="1:5" ht="15">
      <c r="A6" s="239"/>
      <c r="B6" s="230" t="s">
        <v>212</v>
      </c>
      <c r="C6" s="231"/>
      <c r="D6" s="172" t="s">
        <v>213</v>
      </c>
      <c r="E6" s="185" t="s">
        <v>153</v>
      </c>
    </row>
    <row r="7" spans="1:5" ht="15">
      <c r="A7" s="239"/>
      <c r="B7" s="232"/>
      <c r="C7" s="233"/>
      <c r="D7" s="172" t="s">
        <v>213</v>
      </c>
      <c r="E7" s="185" t="s">
        <v>154</v>
      </c>
    </row>
    <row r="8" spans="1:5" ht="16.2" thickBot="1">
      <c r="A8" s="239"/>
      <c r="B8" s="234"/>
      <c r="C8" s="235"/>
      <c r="D8" s="184" t="s">
        <v>214</v>
      </c>
      <c r="E8" s="183" t="s">
        <v>155</v>
      </c>
    </row>
    <row r="9" spans="1:5" ht="16.2" thickBot="1">
      <c r="A9" s="239"/>
      <c r="B9" s="158"/>
      <c r="C9" s="158"/>
      <c r="D9" s="157"/>
      <c r="E9" s="182"/>
    </row>
    <row r="10" spans="1:5" ht="16.2" thickBot="1">
      <c r="A10" s="239"/>
      <c r="B10" s="236" t="s">
        <v>16</v>
      </c>
      <c r="C10" s="237"/>
      <c r="D10" s="237"/>
      <c r="E10" s="238"/>
    </row>
    <row r="11" spans="1:5" ht="75.6" customHeight="1" thickBot="1">
      <c r="A11" s="239"/>
      <c r="B11" s="181" t="s">
        <v>156</v>
      </c>
      <c r="C11" s="180" t="s">
        <v>157</v>
      </c>
      <c r="D11" s="179" t="s">
        <v>158</v>
      </c>
      <c r="E11" s="178"/>
    </row>
    <row r="12" spans="1:5" ht="15">
      <c r="A12" s="239"/>
      <c r="B12" s="177"/>
      <c r="C12" s="177"/>
      <c r="D12" s="176" t="s">
        <v>159</v>
      </c>
      <c r="E12" s="175" t="s">
        <v>160</v>
      </c>
    </row>
    <row r="13" spans="1:5" ht="15">
      <c r="A13" s="239"/>
      <c r="B13" s="172" t="s">
        <v>1</v>
      </c>
      <c r="C13" s="171">
        <f aca="true" t="shared" si="0" ref="C13:C25">+D13/$D$25</f>
        <v>0.5996186074810232</v>
      </c>
      <c r="D13" s="170">
        <v>216826.32692307694</v>
      </c>
      <c r="E13" s="174" t="s">
        <v>107</v>
      </c>
    </row>
    <row r="14" spans="1:5" ht="31.2">
      <c r="A14" s="239"/>
      <c r="B14" s="172" t="s">
        <v>161</v>
      </c>
      <c r="C14" s="171">
        <f t="shared" si="0"/>
        <v>0.0435527990683938</v>
      </c>
      <c r="D14" s="170">
        <v>15749</v>
      </c>
      <c r="E14" s="174" t="s">
        <v>162</v>
      </c>
    </row>
    <row r="15" spans="1:5" ht="31.2">
      <c r="A15" s="239"/>
      <c r="B15" s="172" t="s">
        <v>3</v>
      </c>
      <c r="C15" s="171">
        <f t="shared" si="0"/>
        <v>0.010370372500252509</v>
      </c>
      <c r="D15" s="170">
        <v>3750</v>
      </c>
      <c r="E15" s="174" t="s">
        <v>163</v>
      </c>
    </row>
    <row r="16" spans="1:5" ht="31.2">
      <c r="A16" s="239"/>
      <c r="B16" s="172" t="s">
        <v>164</v>
      </c>
      <c r="C16" s="171">
        <f t="shared" si="0"/>
        <v>0.07927573644637473</v>
      </c>
      <c r="D16" s="170">
        <v>28666.666666666668</v>
      </c>
      <c r="E16" s="174" t="s">
        <v>165</v>
      </c>
    </row>
    <row r="17" spans="1:5" ht="46.8">
      <c r="A17" s="239"/>
      <c r="B17" s="172" t="s">
        <v>81</v>
      </c>
      <c r="C17" s="171">
        <f t="shared" si="0"/>
        <v>0.0790775471052588</v>
      </c>
      <c r="D17" s="170">
        <v>28595</v>
      </c>
      <c r="E17" s="174" t="s">
        <v>166</v>
      </c>
    </row>
    <row r="18" spans="1:5" ht="31.2">
      <c r="A18" s="239"/>
      <c r="B18" s="172" t="s">
        <v>167</v>
      </c>
      <c r="C18" s="171">
        <f t="shared" si="0"/>
        <v>0.030421695136940742</v>
      </c>
      <c r="D18" s="170">
        <v>11000.7</v>
      </c>
      <c r="E18" s="174" t="s">
        <v>168</v>
      </c>
    </row>
    <row r="19" spans="1:5" ht="15">
      <c r="A19" s="239"/>
      <c r="B19" s="172" t="s">
        <v>169</v>
      </c>
      <c r="C19" s="171">
        <f t="shared" si="0"/>
        <v>0.011769681429619913</v>
      </c>
      <c r="D19" s="170">
        <v>4256</v>
      </c>
      <c r="E19" s="174" t="s">
        <v>170</v>
      </c>
    </row>
    <row r="20" spans="1:5" ht="15">
      <c r="A20" s="239"/>
      <c r="B20" s="172" t="s">
        <v>4</v>
      </c>
      <c r="C20" s="171">
        <f t="shared" si="0"/>
        <v>0.01118444674152233</v>
      </c>
      <c r="D20" s="170">
        <v>4044.375</v>
      </c>
      <c r="E20" s="174" t="s">
        <v>171</v>
      </c>
    </row>
    <row r="21" spans="1:5" ht="31.2">
      <c r="A21" s="239"/>
      <c r="B21" s="173" t="s">
        <v>5</v>
      </c>
      <c r="C21" s="171">
        <f t="shared" si="0"/>
        <v>0.007380939787513052</v>
      </c>
      <c r="D21" s="170">
        <v>2669</v>
      </c>
      <c r="E21" s="169" t="s">
        <v>172</v>
      </c>
    </row>
    <row r="22" spans="1:5" ht="46.8">
      <c r="A22" s="239"/>
      <c r="B22" s="173" t="s">
        <v>173</v>
      </c>
      <c r="C22" s="171">
        <f t="shared" si="0"/>
        <v>0.016564941673736674</v>
      </c>
      <c r="D22" s="170">
        <v>5990</v>
      </c>
      <c r="E22" s="169" t="s">
        <v>174</v>
      </c>
    </row>
    <row r="23" spans="1:5" ht="16.2" thickBot="1">
      <c r="A23" s="239"/>
      <c r="B23" s="173" t="s">
        <v>175</v>
      </c>
      <c r="C23" s="171">
        <f t="shared" si="0"/>
        <v>0</v>
      </c>
      <c r="D23" s="170">
        <v>0</v>
      </c>
      <c r="E23" s="169" t="s">
        <v>176</v>
      </c>
    </row>
    <row r="24" spans="1:10" ht="17.4" customHeight="1" thickBot="1">
      <c r="A24" s="239"/>
      <c r="B24" s="172" t="s">
        <v>177</v>
      </c>
      <c r="C24" s="171">
        <f t="shared" si="0"/>
        <v>0.11078323262936413</v>
      </c>
      <c r="D24" s="170">
        <v>40060</v>
      </c>
      <c r="E24" s="169" t="s">
        <v>178</v>
      </c>
      <c r="J24" s="168">
        <v>3738.5</v>
      </c>
    </row>
    <row r="25" spans="1:5" ht="40.95" customHeight="1">
      <c r="A25" s="239"/>
      <c r="B25" s="167" t="s">
        <v>179</v>
      </c>
      <c r="C25" s="166">
        <f t="shared" si="0"/>
        <v>1</v>
      </c>
      <c r="D25" s="165">
        <f>SUM(D13:D24)</f>
        <v>361607.06858974363</v>
      </c>
      <c r="E25" s="219" t="s">
        <v>180</v>
      </c>
    </row>
    <row r="26" spans="1:5" ht="31.2">
      <c r="A26" s="239"/>
      <c r="B26" s="164" t="s">
        <v>209</v>
      </c>
      <c r="C26" s="163"/>
      <c r="D26" s="162">
        <f>+D25/5</f>
        <v>72321.41371794873</v>
      </c>
      <c r="E26" s="219"/>
    </row>
    <row r="27" spans="1:5" ht="31.8" thickBot="1">
      <c r="A27" s="239"/>
      <c r="B27" s="161" t="s">
        <v>210</v>
      </c>
      <c r="C27" s="160"/>
      <c r="D27" s="159">
        <f>+D26/30</f>
        <v>2410.713790598291</v>
      </c>
      <c r="E27" s="220"/>
    </row>
    <row r="28" spans="1:5" ht="16.2" thickBot="1">
      <c r="A28" s="239"/>
      <c r="B28" s="158"/>
      <c r="C28" s="158"/>
      <c r="D28" s="157"/>
      <c r="E28" s="156"/>
    </row>
    <row r="29" spans="1:5" ht="45.75" customHeight="1" thickBot="1">
      <c r="A29" s="240"/>
      <c r="B29" s="216" t="s">
        <v>181</v>
      </c>
      <c r="C29" s="217"/>
      <c r="D29" s="217"/>
      <c r="E29" s="218"/>
    </row>
  </sheetData>
  <mergeCells count="8">
    <mergeCell ref="B29:E29"/>
    <mergeCell ref="E25:E27"/>
    <mergeCell ref="A2:E2"/>
    <mergeCell ref="A1:E1"/>
    <mergeCell ref="B4:E4"/>
    <mergeCell ref="B6:C8"/>
    <mergeCell ref="B10:E10"/>
    <mergeCell ref="A4:A29"/>
  </mergeCells>
  <printOptions/>
  <pageMargins left="0.25" right="0.25" top="0.75" bottom="0.75" header="0.3" footer="0.3"/>
  <pageSetup fitToHeight="1" fitToWidth="1" horizontalDpi="600" verticalDpi="600" orientation="landscape" paperSize="9" scale="57"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zoomScale="40" zoomScaleNormal="40" workbookViewId="0" topLeftCell="A16">
      <selection activeCell="AI18" sqref="AI18"/>
    </sheetView>
  </sheetViews>
  <sheetFormatPr defaultColWidth="9.140625" defaultRowHeight="15"/>
  <cols>
    <col min="1" max="16384" width="8.8515625" style="154"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70" zoomScaleNormal="70" workbookViewId="0" topLeftCell="A1">
      <selection activeCell="C5" sqref="C5"/>
    </sheetView>
  </sheetViews>
  <sheetFormatPr defaultColWidth="9.140625" defaultRowHeight="15"/>
  <cols>
    <col min="1" max="1" width="65.00390625" style="0" customWidth="1"/>
    <col min="2" max="2" width="64.28125" style="0" customWidth="1"/>
    <col min="3" max="3" width="24.8515625" style="0" customWidth="1"/>
    <col min="4" max="4" width="23.421875" style="0" customWidth="1"/>
    <col min="6" max="6" width="36.00390625" style="0" customWidth="1"/>
    <col min="7" max="7" width="33.00390625" style="0" customWidth="1"/>
    <col min="8" max="8" width="46.28125" style="0" customWidth="1"/>
    <col min="9" max="9" width="25.8515625" style="0" customWidth="1"/>
  </cols>
  <sheetData>
    <row r="1" spans="1:8" ht="15" customHeight="1">
      <c r="A1" s="248" t="s">
        <v>69</v>
      </c>
      <c r="B1" s="248"/>
      <c r="C1" s="248"/>
      <c r="D1" s="248"/>
      <c r="E1" s="248"/>
      <c r="F1" s="248"/>
      <c r="G1" s="248"/>
      <c r="H1" s="248"/>
    </row>
    <row r="2" spans="1:8" ht="15" customHeight="1">
      <c r="A2" s="248"/>
      <c r="B2" s="248"/>
      <c r="C2" s="248"/>
      <c r="D2" s="248"/>
      <c r="E2" s="248"/>
      <c r="F2" s="248"/>
      <c r="G2" s="248"/>
      <c r="H2" s="248"/>
    </row>
    <row r="3" spans="3:4" ht="15" thickBot="1">
      <c r="C3" t="s">
        <v>18</v>
      </c>
      <c r="D3" t="s">
        <v>19</v>
      </c>
    </row>
    <row r="4" spans="1:4" ht="38.25" customHeight="1">
      <c r="A4" s="241" t="s">
        <v>16</v>
      </c>
      <c r="B4" s="27" t="s">
        <v>17</v>
      </c>
      <c r="C4" s="28">
        <f>+'Category sub-totals'!B20</f>
        <v>320120.9571730769</v>
      </c>
      <c r="D4" s="29">
        <f>C4/'Category sub-totals'!$B$31</f>
        <v>85.74285715095137</v>
      </c>
    </row>
    <row r="5" spans="1:4" ht="31.5" customHeight="1" thickBot="1">
      <c r="A5" s="242"/>
      <c r="B5" s="30" t="s">
        <v>182</v>
      </c>
      <c r="C5" s="153">
        <f>'Category sub-totals'!D20-'Category sub-totals'!D15</f>
        <v>496636</v>
      </c>
      <c r="D5" s="31">
        <f>C5/'Category sub-totals'!$B$31</f>
        <v>133.02156153743135</v>
      </c>
    </row>
    <row r="15" ht="15" customHeight="1"/>
    <row r="28" spans="1:8" ht="15" customHeight="1">
      <c r="A28" s="248" t="s">
        <v>70</v>
      </c>
      <c r="B28" s="248"/>
      <c r="C28" s="248"/>
      <c r="D28" s="248"/>
      <c r="E28" s="248"/>
      <c r="F28" s="248"/>
      <c r="G28" s="248"/>
      <c r="H28" s="248"/>
    </row>
    <row r="29" spans="1:8" ht="15" customHeight="1">
      <c r="A29" s="248"/>
      <c r="B29" s="248"/>
      <c r="C29" s="248"/>
      <c r="D29" s="248"/>
      <c r="E29" s="248"/>
      <c r="F29" s="248"/>
      <c r="G29" s="248"/>
      <c r="H29" s="248"/>
    </row>
    <row r="30" spans="3:4" ht="15.75" thickBot="1">
      <c r="C30" t="s">
        <v>18</v>
      </c>
      <c r="D30" t="s">
        <v>19</v>
      </c>
    </row>
    <row r="31" spans="1:4" ht="15" customHeight="1">
      <c r="A31" s="243" t="s">
        <v>67</v>
      </c>
      <c r="B31" s="6" t="s">
        <v>12</v>
      </c>
      <c r="C31" s="14">
        <f>'Category sub-totals'!B27</f>
        <v>0</v>
      </c>
      <c r="D31" s="15">
        <f>C31/'Category sub-totals'!$B$31</f>
        <v>0</v>
      </c>
    </row>
    <row r="32" spans="1:4" ht="15" customHeight="1">
      <c r="A32" s="244"/>
      <c r="B32" s="2" t="s">
        <v>68</v>
      </c>
      <c r="C32" s="16">
        <f>'Category sub-totals'!B28</f>
        <v>0</v>
      </c>
      <c r="D32" s="17">
        <f>C32/'Category sub-totals'!$B$31</f>
        <v>0</v>
      </c>
    </row>
    <row r="33" spans="1:4" ht="15" customHeight="1">
      <c r="A33" s="244"/>
      <c r="B33" s="5" t="s">
        <v>14</v>
      </c>
      <c r="C33" s="16">
        <f>'Category sub-totals'!B29</f>
        <v>0</v>
      </c>
      <c r="D33" s="17">
        <f>C33/'Category sub-totals'!$B$31</f>
        <v>0</v>
      </c>
    </row>
    <row r="34" spans="1:4" ht="15.75" customHeight="1" thickBot="1">
      <c r="A34" s="245"/>
      <c r="B34" s="3" t="s">
        <v>15</v>
      </c>
      <c r="C34" s="18">
        <f>'Category sub-totals'!B30</f>
        <v>0</v>
      </c>
      <c r="D34" s="19">
        <f>C34/'Category sub-totals'!$B$31</f>
        <v>0</v>
      </c>
    </row>
    <row r="36" ht="15" thickBot="1">
      <c r="D36" s="16"/>
    </row>
    <row r="37" spans="1:4" ht="18" customHeight="1">
      <c r="A37" s="246" t="s">
        <v>98</v>
      </c>
      <c r="B37" s="1" t="s">
        <v>56</v>
      </c>
      <c r="C37" s="25">
        <f>'Category sub-totals'!H20</f>
        <v>1</v>
      </c>
      <c r="D37" s="16"/>
    </row>
    <row r="38" spans="1:4" ht="15.75" customHeight="1" thickBot="1">
      <c r="A38" s="247"/>
      <c r="B38" s="4" t="s">
        <v>13</v>
      </c>
      <c r="C38" s="26">
        <f>'Category sub-totals'!I20</f>
        <v>0</v>
      </c>
      <c r="D38" s="12"/>
    </row>
  </sheetData>
  <mergeCells count="5">
    <mergeCell ref="A4:A5"/>
    <mergeCell ref="A31:A34"/>
    <mergeCell ref="A37:A38"/>
    <mergeCell ref="A1:H2"/>
    <mergeCell ref="A28:H29"/>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8"/>
  <sheetViews>
    <sheetView zoomScale="60" zoomScaleNormal="60" workbookViewId="0" topLeftCell="A4">
      <pane xSplit="1" topLeftCell="B1" activePane="topRight" state="frozen"/>
      <selection pane="topRight" activeCell="B24" sqref="B24"/>
    </sheetView>
  </sheetViews>
  <sheetFormatPr defaultColWidth="9.140625" defaultRowHeight="15"/>
  <cols>
    <col min="1" max="1" width="38.00390625" style="0" customWidth="1"/>
    <col min="2" max="2" width="25.7109375" style="0" customWidth="1"/>
    <col min="3" max="3" width="26.8515625" style="0" customWidth="1"/>
    <col min="4" max="5" width="28.7109375" style="0" customWidth="1"/>
    <col min="6" max="7" width="27.57421875" style="0" customWidth="1"/>
    <col min="8" max="8" width="44.00390625" style="0" customWidth="1"/>
    <col min="9" max="9" width="38.00390625" style="0" customWidth="1"/>
    <col min="10" max="10" width="26.140625" style="0" customWidth="1"/>
    <col min="11" max="11" width="33.140625" style="0" hidden="1" customWidth="1"/>
    <col min="12" max="12" width="31.8515625" style="0" hidden="1" customWidth="1"/>
  </cols>
  <sheetData>
    <row r="1" spans="1:14" ht="15" customHeight="1">
      <c r="A1" s="251" t="s">
        <v>88</v>
      </c>
      <c r="B1" s="251"/>
      <c r="C1" s="251"/>
      <c r="D1" s="251"/>
      <c r="E1" s="251"/>
      <c r="F1" s="254" t="s">
        <v>197</v>
      </c>
      <c r="G1" s="255"/>
      <c r="H1" s="252" t="s">
        <v>206</v>
      </c>
      <c r="I1" s="252"/>
      <c r="J1" s="20"/>
      <c r="K1" s="20"/>
      <c r="L1" s="20"/>
      <c r="M1" s="20"/>
      <c r="N1" s="21"/>
    </row>
    <row r="2" spans="1:14" ht="15" customHeight="1">
      <c r="A2" s="251"/>
      <c r="B2" s="251"/>
      <c r="C2" s="251"/>
      <c r="D2" s="251"/>
      <c r="E2" s="251"/>
      <c r="F2" s="254"/>
      <c r="G2" s="255"/>
      <c r="H2" s="252"/>
      <c r="I2" s="252"/>
      <c r="J2" s="20"/>
      <c r="K2" s="20"/>
      <c r="L2" s="20"/>
      <c r="M2" s="20"/>
      <c r="N2" s="21"/>
    </row>
    <row r="3" spans="1:14" ht="15" thickBot="1">
      <c r="A3" s="33"/>
      <c r="B3" s="250" t="s">
        <v>82</v>
      </c>
      <c r="C3" s="250"/>
      <c r="D3" s="250" t="s">
        <v>83</v>
      </c>
      <c r="E3" s="250"/>
      <c r="F3" s="250"/>
      <c r="G3" s="131"/>
      <c r="H3" s="253" t="s">
        <v>97</v>
      </c>
      <c r="I3" s="253"/>
      <c r="J3" s="21"/>
      <c r="K3" s="21"/>
      <c r="L3" s="21"/>
      <c r="M3" s="21"/>
      <c r="N3" s="21"/>
    </row>
    <row r="4" spans="1:9" ht="29.4" thickBot="1">
      <c r="A4" s="194" t="s">
        <v>76</v>
      </c>
      <c r="B4" s="128" t="s">
        <v>93</v>
      </c>
      <c r="C4" s="195" t="s">
        <v>92</v>
      </c>
      <c r="D4" s="128" t="s">
        <v>137</v>
      </c>
      <c r="E4" s="128" t="s">
        <v>207</v>
      </c>
      <c r="F4" s="150" t="s">
        <v>140</v>
      </c>
      <c r="G4" s="190" t="s">
        <v>139</v>
      </c>
      <c r="H4" s="148" t="s">
        <v>56</v>
      </c>
      <c r="I4" s="11" t="s">
        <v>13</v>
      </c>
    </row>
    <row r="5" spans="1:9" ht="15">
      <c r="A5" s="33" t="s">
        <v>1</v>
      </c>
      <c r="B5" s="34">
        <f>'Items monthly'!G21</f>
        <v>216826.32692307694</v>
      </c>
      <c r="C5" s="132" t="s">
        <v>91</v>
      </c>
      <c r="D5" s="129">
        <f>'Items one-off'!G21</f>
        <v>0</v>
      </c>
      <c r="E5" s="129">
        <f>+D5/12</f>
        <v>0</v>
      </c>
      <c r="F5" s="33"/>
      <c r="G5" s="191"/>
      <c r="H5" s="22" t="str">
        <f>'Items monthly'!M21</f>
        <v>No</v>
      </c>
      <c r="I5" s="10" t="str">
        <f>'Items one-off'!L21</f>
        <v>No</v>
      </c>
    </row>
    <row r="6" spans="1:9" ht="15">
      <c r="A6" s="33" t="s">
        <v>2</v>
      </c>
      <c r="B6" s="34">
        <f>'Items monthly'!G32</f>
        <v>8919</v>
      </c>
      <c r="C6" s="132" t="s">
        <v>91</v>
      </c>
      <c r="D6" s="129">
        <f>'Items one-off'!G36</f>
        <v>80761</v>
      </c>
      <c r="E6" s="129">
        <f aca="true" t="shared" si="0" ref="E6:E19">+D6/12</f>
        <v>6730.083333333333</v>
      </c>
      <c r="F6" s="34">
        <v>15749</v>
      </c>
      <c r="G6" s="192">
        <f>+F6-(B6+E6)</f>
        <v>99.91666666666788</v>
      </c>
      <c r="H6" s="22" t="str">
        <f>'Items monthly'!M32</f>
        <v>No</v>
      </c>
      <c r="I6" s="10" t="str">
        <f>'Items one-off'!L36</f>
        <v>No</v>
      </c>
    </row>
    <row r="7" spans="1:9" ht="15">
      <c r="A7" s="33" t="s">
        <v>3</v>
      </c>
      <c r="B7" s="34">
        <f>'Items monthly'!G39</f>
        <v>3750</v>
      </c>
      <c r="C7" s="132" t="s">
        <v>134</v>
      </c>
      <c r="D7" s="129">
        <f>'Items one-off'!G37</f>
        <v>0</v>
      </c>
      <c r="E7" s="129">
        <f t="shared" si="0"/>
        <v>0</v>
      </c>
      <c r="F7" s="34">
        <v>3750</v>
      </c>
      <c r="G7" s="192">
        <f>+F7-(B7+E7)</f>
        <v>0</v>
      </c>
      <c r="H7" s="22" t="str">
        <f>'Items monthly'!M39</f>
        <v>No</v>
      </c>
      <c r="I7" s="10" t="str">
        <f>'Items one-off'!L37</f>
        <v>No</v>
      </c>
    </row>
    <row r="8" spans="1:9" ht="15">
      <c r="A8" s="33" t="s">
        <v>4</v>
      </c>
      <c r="B8" s="34">
        <f>'Items monthly'!G46</f>
        <v>4044.375</v>
      </c>
      <c r="C8" s="132" t="s">
        <v>133</v>
      </c>
      <c r="D8" s="129">
        <f>'Items one-off'!G43</f>
        <v>0</v>
      </c>
      <c r="E8" s="129">
        <f t="shared" si="0"/>
        <v>0</v>
      </c>
      <c r="F8" s="34">
        <v>4044</v>
      </c>
      <c r="G8" s="192">
        <f>+F8-(B8+E8)</f>
        <v>-0.375</v>
      </c>
      <c r="H8" s="22" t="str">
        <f>'Items monthly'!M46</f>
        <v>Yes</v>
      </c>
      <c r="I8" s="10" t="str">
        <f>'Items one-off'!L43</f>
        <v>No</v>
      </c>
    </row>
    <row r="9" spans="1:9" ht="15">
      <c r="A9" s="33" t="s">
        <v>5</v>
      </c>
      <c r="B9" s="34">
        <f>'Items monthly'!G53</f>
        <v>2668.7999999999997</v>
      </c>
      <c r="C9" s="132" t="s">
        <v>133</v>
      </c>
      <c r="D9" s="129">
        <f>'Items one-off'!G50</f>
        <v>0</v>
      </c>
      <c r="E9" s="129">
        <f t="shared" si="0"/>
        <v>0</v>
      </c>
      <c r="F9" s="34">
        <v>2669</v>
      </c>
      <c r="G9" s="192">
        <f aca="true" t="shared" si="1" ref="G9:G20">+F9-(B9+E9)</f>
        <v>0.20000000000027285</v>
      </c>
      <c r="H9" s="22" t="str">
        <f>'Items monthly'!M53</f>
        <v>No</v>
      </c>
      <c r="I9" s="10" t="str">
        <f>'Items one-off'!L50</f>
        <v>No</v>
      </c>
    </row>
    <row r="10" spans="1:9" ht="15">
      <c r="A10" s="33" t="s">
        <v>84</v>
      </c>
      <c r="B10" s="34">
        <f>'Items monthly'!G60</f>
        <v>28595</v>
      </c>
      <c r="C10" s="132" t="s">
        <v>133</v>
      </c>
      <c r="D10" s="129">
        <f>'Items one-off'!G57</f>
        <v>0</v>
      </c>
      <c r="E10" s="129">
        <f t="shared" si="0"/>
        <v>0</v>
      </c>
      <c r="F10" s="34">
        <v>28585</v>
      </c>
      <c r="G10" s="192">
        <f t="shared" si="1"/>
        <v>-10</v>
      </c>
      <c r="H10" s="22" t="str">
        <f>'Items monthly'!M60</f>
        <v>No</v>
      </c>
      <c r="I10" s="10" t="str">
        <f>'Items one-off'!L57</f>
        <v>No</v>
      </c>
    </row>
    <row r="11" spans="1:9" ht="15">
      <c r="A11" s="33" t="s">
        <v>7</v>
      </c>
      <c r="B11" s="34">
        <f>'Items monthly'!G66</f>
        <v>4256.300249999999</v>
      </c>
      <c r="C11" s="132" t="s">
        <v>133</v>
      </c>
      <c r="D11" s="129">
        <f>'Items one-off'!G63</f>
        <v>0</v>
      </c>
      <c r="E11" s="129">
        <f t="shared" si="0"/>
        <v>0</v>
      </c>
      <c r="F11" s="34">
        <v>4256</v>
      </c>
      <c r="G11" s="192">
        <f t="shared" si="1"/>
        <v>-0.30024999999932334</v>
      </c>
      <c r="H11" s="22" t="str">
        <f>'Items monthly'!M66</f>
        <v>No</v>
      </c>
      <c r="I11" s="10" t="str">
        <f>'Items one-off'!L63</f>
        <v>No</v>
      </c>
    </row>
    <row r="12" spans="1:9" ht="15">
      <c r="A12" s="33" t="s">
        <v>8</v>
      </c>
      <c r="B12" s="34">
        <f>'Items monthly'!G72</f>
        <v>11000.7</v>
      </c>
      <c r="C12" s="132" t="s">
        <v>133</v>
      </c>
      <c r="D12" s="129">
        <f>'Items one-off'!G69</f>
        <v>0</v>
      </c>
      <c r="E12" s="129">
        <f t="shared" si="0"/>
        <v>0</v>
      </c>
      <c r="F12" s="34">
        <v>11001</v>
      </c>
      <c r="G12" s="192">
        <f t="shared" si="1"/>
        <v>0.2999999999992724</v>
      </c>
      <c r="H12" s="22" t="str">
        <f>'Items monthly'!M72</f>
        <v>No</v>
      </c>
      <c r="I12" s="10" t="str">
        <f>'Items one-off'!L69</f>
        <v>No</v>
      </c>
    </row>
    <row r="13" spans="1:9" ht="15">
      <c r="A13" s="33" t="s">
        <v>9</v>
      </c>
      <c r="B13" s="34">
        <f>'Items monthly'!G78</f>
        <v>0</v>
      </c>
      <c r="C13" s="132" t="s">
        <v>133</v>
      </c>
      <c r="D13" s="129">
        <f>'Items one-off'!G75</f>
        <v>0</v>
      </c>
      <c r="E13" s="129">
        <f t="shared" si="0"/>
        <v>0</v>
      </c>
      <c r="F13" s="34"/>
      <c r="G13" s="192">
        <f t="shared" si="1"/>
        <v>0</v>
      </c>
      <c r="H13" s="22" t="str">
        <f>'Items monthly'!M78</f>
        <v>No</v>
      </c>
      <c r="I13" s="10" t="str">
        <f>'Items one-off'!L75</f>
        <v>No</v>
      </c>
    </row>
    <row r="14" spans="1:9" ht="15">
      <c r="A14" s="33" t="s">
        <v>10</v>
      </c>
      <c r="B14" s="34">
        <f>'Items monthly'!G85</f>
        <v>0</v>
      </c>
      <c r="C14" s="132" t="s">
        <v>133</v>
      </c>
      <c r="D14" s="129">
        <f>'Items one-off'!G82</f>
        <v>344000</v>
      </c>
      <c r="E14" s="129">
        <f t="shared" si="0"/>
        <v>28666.666666666668</v>
      </c>
      <c r="F14" s="34">
        <v>28667</v>
      </c>
      <c r="G14" s="192">
        <f t="shared" si="1"/>
        <v>0.3333333333321207</v>
      </c>
      <c r="H14" s="22" t="str">
        <f>'Items monthly'!M85</f>
        <v>No</v>
      </c>
      <c r="I14" s="10" t="str">
        <f>'Items one-off'!L82</f>
        <v>No</v>
      </c>
    </row>
    <row r="15" spans="1:9" ht="15">
      <c r="A15" s="33" t="s">
        <v>11</v>
      </c>
      <c r="B15" s="34">
        <f>'Items monthly'!G91</f>
        <v>40060.455</v>
      </c>
      <c r="C15" s="132" t="s">
        <v>135</v>
      </c>
      <c r="D15" s="152">
        <f>'Items one-off'!G88</f>
        <v>1598871.375</v>
      </c>
      <c r="E15" s="129">
        <f t="shared" si="0"/>
        <v>133239.28125</v>
      </c>
      <c r="F15" s="34">
        <v>40060</v>
      </c>
      <c r="G15" s="193">
        <f t="shared" si="1"/>
        <v>-133239.73625000002</v>
      </c>
      <c r="H15" s="22" t="str">
        <f>'Items monthly'!M91</f>
        <v>No</v>
      </c>
      <c r="I15" s="10" t="str">
        <f>'Items one-off'!L88</f>
        <v>No</v>
      </c>
    </row>
    <row r="16" spans="1:9" ht="15">
      <c r="A16" s="33" t="s">
        <v>0</v>
      </c>
      <c r="B16" s="34">
        <f>'Items monthly'!G98</f>
        <v>0</v>
      </c>
      <c r="C16" s="132" t="s">
        <v>91</v>
      </c>
      <c r="D16" s="129">
        <f>'Items one-off'!G95</f>
        <v>0</v>
      </c>
      <c r="E16" s="129">
        <f t="shared" si="0"/>
        <v>0</v>
      </c>
      <c r="F16" s="34"/>
      <c r="G16" s="192">
        <f t="shared" si="1"/>
        <v>0</v>
      </c>
      <c r="H16" s="22" t="str">
        <f>'Items monthly'!M98</f>
        <v>No</v>
      </c>
      <c r="I16" s="10" t="str">
        <f>'Items one-off'!L95</f>
        <v>No</v>
      </c>
    </row>
    <row r="17" spans="1:9" ht="15">
      <c r="A17" s="33" t="s">
        <v>46</v>
      </c>
      <c r="B17" s="34">
        <f>'Items monthly'!G106</f>
        <v>0</v>
      </c>
      <c r="C17" s="132" t="s">
        <v>91</v>
      </c>
      <c r="D17" s="129">
        <f>'Items one-off'!G103</f>
        <v>71875</v>
      </c>
      <c r="E17" s="129">
        <f t="shared" si="0"/>
        <v>5989.583333333333</v>
      </c>
      <c r="F17" s="34">
        <v>5990</v>
      </c>
      <c r="G17" s="192">
        <f t="shared" si="1"/>
        <v>0.41666666666696983</v>
      </c>
      <c r="H17" s="23" t="str">
        <f>'Items monthly'!M106</f>
        <v>No</v>
      </c>
      <c r="I17" s="10" t="str">
        <f>'Items one-off'!L103</f>
        <v>No</v>
      </c>
    </row>
    <row r="18" spans="1:9" ht="15">
      <c r="A18" s="33" t="s">
        <v>44</v>
      </c>
      <c r="B18" s="34">
        <f>'Items monthly'!G110</f>
        <v>0</v>
      </c>
      <c r="C18" s="132" t="s">
        <v>91</v>
      </c>
      <c r="D18" s="129">
        <f>'Items one-off'!G108</f>
        <v>0</v>
      </c>
      <c r="E18" s="129">
        <f t="shared" si="0"/>
        <v>0</v>
      </c>
      <c r="F18" s="34"/>
      <c r="G18" s="192">
        <f t="shared" si="1"/>
        <v>0</v>
      </c>
      <c r="H18" s="23" t="str">
        <f>'Items monthly'!M110</f>
        <v>No</v>
      </c>
      <c r="I18" s="10" t="str">
        <f>'Items one-off'!L108</f>
        <v>No</v>
      </c>
    </row>
    <row r="19" spans="1:9" ht="15" thickBot="1">
      <c r="A19" s="33" t="s">
        <v>86</v>
      </c>
      <c r="B19" s="34">
        <f>'Items monthly'!G114</f>
        <v>0</v>
      </c>
      <c r="C19" s="132" t="s">
        <v>91</v>
      </c>
      <c r="D19" s="129">
        <f>'Items one-off'!G113</f>
        <v>0</v>
      </c>
      <c r="E19" s="129">
        <f t="shared" si="0"/>
        <v>0</v>
      </c>
      <c r="F19" s="34"/>
      <c r="G19" s="192">
        <f t="shared" si="1"/>
        <v>0</v>
      </c>
      <c r="H19" s="23" t="str">
        <f>'Items monthly'!M114</f>
        <v>No</v>
      </c>
      <c r="I19" s="10" t="str">
        <f>'Items one-off'!L113</f>
        <v>No</v>
      </c>
    </row>
    <row r="20" spans="1:9" ht="15" thickBot="1">
      <c r="A20" s="196" t="s">
        <v>20</v>
      </c>
      <c r="B20" s="197">
        <f>SUM(B5:B19)</f>
        <v>320120.9571730769</v>
      </c>
      <c r="C20" s="197"/>
      <c r="D20" s="130">
        <f>SUM(D5:D19)</f>
        <v>2095507.375</v>
      </c>
      <c r="E20" s="130">
        <f>SUM(E5:E19)</f>
        <v>174625.61458333334</v>
      </c>
      <c r="F20" s="34">
        <v>361607</v>
      </c>
      <c r="G20" s="192">
        <f t="shared" si="1"/>
        <v>-133139.5717564103</v>
      </c>
      <c r="H20" s="149">
        <f>COUNTIF(H5:H19,"Yes")</f>
        <v>1</v>
      </c>
      <c r="I20" s="24">
        <f>COUNTIF(I5:I19,"Yes")</f>
        <v>0</v>
      </c>
    </row>
    <row r="21" spans="1:6" ht="15">
      <c r="A21" s="198" t="s">
        <v>138</v>
      </c>
      <c r="B21" s="151">
        <f>+B20+E20-E15</f>
        <v>361507.2905064103</v>
      </c>
      <c r="C21" s="199" t="s">
        <v>144</v>
      </c>
      <c r="D21" s="33"/>
      <c r="E21" s="33"/>
      <c r="F21" s="33"/>
    </row>
    <row r="22" spans="1:7" ht="15" customHeight="1">
      <c r="A22" s="248" t="s">
        <v>87</v>
      </c>
      <c r="B22" s="248"/>
      <c r="C22" s="248"/>
      <c r="D22" s="32"/>
      <c r="E22" s="32"/>
      <c r="F22" s="20"/>
      <c r="G22" s="20"/>
    </row>
    <row r="23" spans="1:7" ht="15.75" customHeight="1" thickBot="1">
      <c r="A23" s="249"/>
      <c r="B23" s="249"/>
      <c r="C23" s="249"/>
      <c r="D23" s="32"/>
      <c r="E23" s="32"/>
      <c r="F23" s="20"/>
      <c r="G23" s="20"/>
    </row>
    <row r="24" spans="1:3" ht="15">
      <c r="A24" s="7" t="s">
        <v>54</v>
      </c>
      <c r="B24" s="8" t="s">
        <v>36</v>
      </c>
      <c r="C24" s="9" t="s">
        <v>25</v>
      </c>
    </row>
    <row r="25" spans="1:3" ht="28.8">
      <c r="A25" s="115" t="s">
        <v>31</v>
      </c>
      <c r="B25" s="116">
        <v>5</v>
      </c>
      <c r="C25" s="117" t="s">
        <v>37</v>
      </c>
    </row>
    <row r="26" spans="1:3" ht="32.25" customHeight="1">
      <c r="A26" s="118" t="s">
        <v>66</v>
      </c>
      <c r="B26" s="116">
        <v>1</v>
      </c>
      <c r="C26" s="117" t="s">
        <v>52</v>
      </c>
    </row>
    <row r="27" spans="1:3" ht="43.2">
      <c r="A27" s="115" t="s">
        <v>90</v>
      </c>
      <c r="B27" s="116"/>
      <c r="C27" s="117" t="s">
        <v>105</v>
      </c>
    </row>
    <row r="28" spans="1:3" ht="15">
      <c r="A28" s="115" t="s">
        <v>89</v>
      </c>
      <c r="B28" s="116"/>
      <c r="C28" s="117"/>
    </row>
    <row r="29" spans="1:3" ht="15">
      <c r="A29" s="115" t="s">
        <v>94</v>
      </c>
      <c r="B29" s="116"/>
      <c r="C29" s="117"/>
    </row>
    <row r="30" spans="1:3" ht="15">
      <c r="A30" s="115" t="s">
        <v>95</v>
      </c>
      <c r="B30" s="116"/>
      <c r="C30" s="117"/>
    </row>
    <row r="31" spans="1:3" ht="28.8">
      <c r="A31" s="115" t="s">
        <v>32</v>
      </c>
      <c r="B31" s="119">
        <v>3733.5</v>
      </c>
      <c r="C31" s="117" t="s">
        <v>38</v>
      </c>
    </row>
    <row r="32" spans="1:3" ht="33" customHeight="1">
      <c r="A32" s="120" t="s">
        <v>40</v>
      </c>
      <c r="B32" s="121">
        <v>0.05</v>
      </c>
      <c r="C32" s="117" t="s">
        <v>39</v>
      </c>
    </row>
    <row r="33" spans="1:3" ht="15">
      <c r="A33" s="115" t="s">
        <v>72</v>
      </c>
      <c r="B33" s="122">
        <v>0.56</v>
      </c>
      <c r="C33" s="123" t="s">
        <v>85</v>
      </c>
    </row>
    <row r="34" spans="1:3" ht="15">
      <c r="A34" s="115" t="s">
        <v>145</v>
      </c>
      <c r="B34" s="124">
        <f>32355*B25</f>
        <v>161775</v>
      </c>
      <c r="C34" s="123" t="s">
        <v>146</v>
      </c>
    </row>
    <row r="35" spans="1:3" ht="15">
      <c r="A35" s="125" t="s">
        <v>73</v>
      </c>
      <c r="B35" s="126">
        <f>B5</f>
        <v>216826.32692307694</v>
      </c>
      <c r="C35" s="127"/>
    </row>
    <row r="36" spans="1:3" ht="15">
      <c r="A36" s="125" t="s">
        <v>74</v>
      </c>
      <c r="B36" s="127">
        <f>B35/B33</f>
        <v>387189.8695054945</v>
      </c>
      <c r="C36" s="123"/>
    </row>
    <row r="37" spans="1:3" ht="15">
      <c r="A37" s="125" t="s">
        <v>208</v>
      </c>
      <c r="B37" s="127">
        <f>B36-B35</f>
        <v>170363.54258241755</v>
      </c>
      <c r="C37" s="123"/>
    </row>
    <row r="38" spans="1:5" ht="15">
      <c r="A38" s="2"/>
      <c r="B38" s="2"/>
      <c r="C38" s="2"/>
      <c r="D38" s="2"/>
      <c r="E38" s="2"/>
    </row>
  </sheetData>
  <mergeCells count="7">
    <mergeCell ref="A22:C23"/>
    <mergeCell ref="B3:C3"/>
    <mergeCell ref="D3:F3"/>
    <mergeCell ref="A1:E2"/>
    <mergeCell ref="H1:I2"/>
    <mergeCell ref="H3:I3"/>
    <mergeCell ref="F1:G2"/>
  </mergeCells>
  <conditionalFormatting sqref="H5:I19">
    <cfRule type="containsText" priority="1" dxfId="0" operator="containsText" text="Yes">
      <formula>NOT(ISERROR(SEARCH("Yes",H5)))</formula>
    </cfRule>
    <cfRule type="containsText" priority="2" dxfId="0" operator="containsText" text="&quot;&quot;Yes&quot;&quot;">
      <formula>NOT(ISERROR(SEARCH("""Yes""",H5)))</formula>
    </cfRule>
  </conditionalFormatting>
  <dataValidations count="2">
    <dataValidation type="list" showInputMessage="1" showErrorMessage="1" sqref="C5:C14 C16:C19">
      <formula1>"', Per Item, Expenditure, Agreement, triangulation"</formula1>
    </dataValidation>
    <dataValidation type="list" showInputMessage="1" showErrorMessage="1" sqref="C15">
      <formula1>"', Per Item, Expenditure, Agreement, triangulation, proxy"</formula1>
    </dataValidation>
  </dataValidation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5"/>
  <sheetViews>
    <sheetView zoomScale="40" zoomScaleNormal="40" workbookViewId="0" topLeftCell="A1">
      <pane xSplit="1" ySplit="3" topLeftCell="B55" activePane="bottomRight" state="frozen"/>
      <selection pane="topRight" activeCell="B1" sqref="B1"/>
      <selection pane="bottomLeft" activeCell="A4" sqref="A4"/>
      <selection pane="bottomRight" activeCell="E3" sqref="E3"/>
    </sheetView>
  </sheetViews>
  <sheetFormatPr defaultColWidth="9.140625" defaultRowHeight="15"/>
  <cols>
    <col min="1" max="1" width="20.8515625" style="35" customWidth="1"/>
    <col min="2" max="2" width="42.8515625" style="35" customWidth="1"/>
    <col min="3" max="3" width="24.57421875" style="35" customWidth="1"/>
    <col min="4" max="4" width="21.57421875" style="35" customWidth="1"/>
    <col min="5" max="5" width="22.421875" style="35" customWidth="1"/>
    <col min="6" max="6" width="30.421875" style="35" customWidth="1"/>
    <col min="7" max="7" width="14.421875" style="35" bestFit="1" customWidth="1"/>
    <col min="8" max="8" width="12.140625" style="35" customWidth="1"/>
    <col min="9" max="9" width="14.140625" style="35" customWidth="1"/>
    <col min="10" max="10" width="11.00390625" style="35" customWidth="1"/>
    <col min="11" max="11" width="23.28125" style="35" customWidth="1"/>
    <col min="12" max="12" width="16.57421875" style="35" customWidth="1"/>
    <col min="13" max="13" width="15.7109375" style="35" customWidth="1"/>
    <col min="14" max="14" width="34.57421875" style="35" customWidth="1"/>
    <col min="15" max="15" width="24.7109375" style="35" customWidth="1"/>
    <col min="16" max="16384" width="8.8515625" style="35" customWidth="1"/>
  </cols>
  <sheetData>
    <row r="1" spans="1:14" ht="21" customHeight="1">
      <c r="A1" s="262" t="s">
        <v>106</v>
      </c>
      <c r="B1" s="262"/>
      <c r="C1" s="262"/>
      <c r="D1" s="262"/>
      <c r="E1" s="262"/>
      <c r="F1" s="262"/>
      <c r="G1" s="262"/>
      <c r="H1" s="262"/>
      <c r="I1" s="261" t="s">
        <v>183</v>
      </c>
      <c r="J1" s="261"/>
      <c r="K1" s="261"/>
      <c r="L1" s="261"/>
      <c r="M1" s="261"/>
      <c r="N1" s="261"/>
    </row>
    <row r="2" spans="1:14" ht="21" customHeight="1">
      <c r="A2" s="262"/>
      <c r="B2" s="262"/>
      <c r="C2" s="262"/>
      <c r="D2" s="262"/>
      <c r="E2" s="262"/>
      <c r="F2" s="262"/>
      <c r="G2" s="262"/>
      <c r="H2" s="262"/>
      <c r="I2" s="261"/>
      <c r="J2" s="261"/>
      <c r="K2" s="261"/>
      <c r="L2" s="261"/>
      <c r="M2" s="261"/>
      <c r="N2" s="261"/>
    </row>
    <row r="3" spans="1:15" ht="48" customHeight="1" thickBot="1">
      <c r="A3" s="36" t="s">
        <v>24</v>
      </c>
      <c r="B3" s="36" t="s">
        <v>23</v>
      </c>
      <c r="C3" s="37" t="s">
        <v>141</v>
      </c>
      <c r="D3" s="37" t="s">
        <v>142</v>
      </c>
      <c r="E3" s="38" t="s">
        <v>143</v>
      </c>
      <c r="F3" s="36" t="s">
        <v>25</v>
      </c>
      <c r="G3" s="37" t="s">
        <v>29</v>
      </c>
      <c r="H3" s="39" t="s">
        <v>108</v>
      </c>
      <c r="I3" s="37" t="s">
        <v>75</v>
      </c>
      <c r="J3" s="37" t="s">
        <v>26</v>
      </c>
      <c r="K3" s="37" t="s">
        <v>27</v>
      </c>
      <c r="L3" s="37" t="s">
        <v>28</v>
      </c>
      <c r="M3" s="37" t="s">
        <v>96</v>
      </c>
      <c r="N3" s="37" t="s">
        <v>78</v>
      </c>
      <c r="O3" s="37" t="s">
        <v>79</v>
      </c>
    </row>
    <row r="4" spans="1:15" ht="23.25" customHeight="1">
      <c r="A4" s="270" t="s">
        <v>1</v>
      </c>
      <c r="B4" s="43" t="s">
        <v>59</v>
      </c>
      <c r="C4" s="58">
        <v>290</v>
      </c>
      <c r="D4" s="58">
        <v>13551.923076923076</v>
      </c>
      <c r="E4" s="43">
        <f>C4*'Category sub-totals'!$B$25</f>
        <v>1450</v>
      </c>
      <c r="F4" s="268" t="s">
        <v>186</v>
      </c>
      <c r="G4" s="44">
        <f>D4*'Category sub-totals'!$B$25</f>
        <v>67759.61538461538</v>
      </c>
      <c r="H4" s="133"/>
      <c r="I4" s="134" t="s">
        <v>33</v>
      </c>
      <c r="J4" s="134" t="s">
        <v>33</v>
      </c>
      <c r="K4" s="134" t="s">
        <v>33</v>
      </c>
      <c r="L4" s="134" t="s">
        <v>34</v>
      </c>
      <c r="M4" s="44" t="str">
        <f>IF(AND(I4="Yes",J4="Yes",K4="Yes",L4="No"),"Yes","No")</f>
        <v>Yes</v>
      </c>
      <c r="N4" s="61"/>
      <c r="O4" s="266"/>
    </row>
    <row r="5" spans="1:15" ht="15">
      <c r="A5" s="256"/>
      <c r="B5" s="45" t="s">
        <v>60</v>
      </c>
      <c r="C5" s="55">
        <v>180</v>
      </c>
      <c r="D5" s="55">
        <v>10242.553846153847</v>
      </c>
      <c r="E5" s="45">
        <f>C5*'Category sub-totals'!$B$25</f>
        <v>900</v>
      </c>
      <c r="F5" s="269"/>
      <c r="G5" s="46">
        <f>D5*'Category sub-totals'!$B$25</f>
        <v>51212.769230769234</v>
      </c>
      <c r="H5" s="135"/>
      <c r="I5" s="136" t="s">
        <v>35</v>
      </c>
      <c r="J5" s="136" t="s">
        <v>33</v>
      </c>
      <c r="K5" s="136" t="s">
        <v>34</v>
      </c>
      <c r="L5" s="136" t="s">
        <v>33</v>
      </c>
      <c r="M5" s="46" t="str">
        <f>IF(AND(I5="Yes",J5="Yes",K5="Yes",L5="No"),"Yes","No")</f>
        <v>No</v>
      </c>
      <c r="N5" s="59"/>
      <c r="O5" s="267"/>
    </row>
    <row r="6" spans="1:15" ht="15">
      <c r="A6" s="256"/>
      <c r="B6" s="45" t="s">
        <v>61</v>
      </c>
      <c r="C6" s="55">
        <v>50</v>
      </c>
      <c r="D6" s="55">
        <v>1701.923076923077</v>
      </c>
      <c r="E6" s="45">
        <f>C6*'Category sub-totals'!$B$25</f>
        <v>250</v>
      </c>
      <c r="F6" s="269"/>
      <c r="G6" s="46">
        <f>D6*'Category sub-totals'!$B$25</f>
        <v>8509.615384615385</v>
      </c>
      <c r="H6" s="135"/>
      <c r="I6" s="136" t="s">
        <v>35</v>
      </c>
      <c r="J6" s="45"/>
      <c r="K6" s="45"/>
      <c r="L6" s="45"/>
      <c r="M6" s="46" t="str">
        <f aca="true" t="shared" si="0" ref="M6:M21">IF(AND(I6="Yes",J6="Yes",K6="Yes",L6="No"),"Yes","No")</f>
        <v>No</v>
      </c>
      <c r="N6" s="59"/>
      <c r="O6" s="267"/>
    </row>
    <row r="7" spans="1:15" ht="15">
      <c r="A7" s="256"/>
      <c r="B7" s="45" t="s">
        <v>184</v>
      </c>
      <c r="C7" s="55">
        <v>25</v>
      </c>
      <c r="D7" s="55">
        <v>4117.326923076923</v>
      </c>
      <c r="E7" s="45">
        <f>C7*'Category sub-totals'!$B$25</f>
        <v>125</v>
      </c>
      <c r="F7" s="269"/>
      <c r="G7" s="46">
        <f>D7*'Category sub-totals'!$B$25</f>
        <v>20586.634615384613</v>
      </c>
      <c r="H7" s="135"/>
      <c r="I7" s="136" t="s">
        <v>35</v>
      </c>
      <c r="J7" s="136" t="s">
        <v>35</v>
      </c>
      <c r="K7" s="136" t="s">
        <v>35</v>
      </c>
      <c r="L7" s="136" t="s">
        <v>35</v>
      </c>
      <c r="M7" s="46" t="str">
        <f t="shared" si="0"/>
        <v>No</v>
      </c>
      <c r="N7" s="59"/>
      <c r="O7" s="267"/>
    </row>
    <row r="8" spans="1:15" ht="15">
      <c r="A8" s="256"/>
      <c r="B8" s="45" t="s">
        <v>62</v>
      </c>
      <c r="C8" s="55">
        <v>20</v>
      </c>
      <c r="D8" s="55">
        <v>242.30769230769232</v>
      </c>
      <c r="E8" s="45">
        <f>C8*'Category sub-totals'!$B$25</f>
        <v>100</v>
      </c>
      <c r="F8" s="269"/>
      <c r="G8" s="46">
        <f>D8*'Category sub-totals'!$B$25</f>
        <v>1211.5384615384617</v>
      </c>
      <c r="H8" s="135"/>
      <c r="I8" s="136" t="s">
        <v>35</v>
      </c>
      <c r="J8" s="136" t="s">
        <v>35</v>
      </c>
      <c r="K8" s="136" t="s">
        <v>35</v>
      </c>
      <c r="L8" s="136" t="s">
        <v>35</v>
      </c>
      <c r="M8" s="46" t="str">
        <f t="shared" si="0"/>
        <v>No</v>
      </c>
      <c r="N8" s="59"/>
      <c r="O8" s="267"/>
    </row>
    <row r="9" spans="1:15" ht="15">
      <c r="A9" s="256"/>
      <c r="B9" s="45" t="s">
        <v>63</v>
      </c>
      <c r="C9" s="55">
        <v>5</v>
      </c>
      <c r="D9" s="55">
        <v>196.15384615384616</v>
      </c>
      <c r="E9" s="45">
        <f>C9*'Category sub-totals'!$B$25</f>
        <v>25</v>
      </c>
      <c r="F9" s="269"/>
      <c r="G9" s="46">
        <f>D9*'Category sub-totals'!$B$25</f>
        <v>980.7692307692308</v>
      </c>
      <c r="H9" s="135"/>
      <c r="I9" s="136" t="s">
        <v>35</v>
      </c>
      <c r="J9" s="45"/>
      <c r="K9" s="45"/>
      <c r="L9" s="45"/>
      <c r="M9" s="46" t="str">
        <f t="shared" si="0"/>
        <v>No</v>
      </c>
      <c r="N9" s="59"/>
      <c r="O9" s="267"/>
    </row>
    <row r="10" spans="1:15" ht="15">
      <c r="A10" s="256"/>
      <c r="B10" s="45" t="s">
        <v>64</v>
      </c>
      <c r="C10" s="55">
        <v>100</v>
      </c>
      <c r="D10" s="55">
        <v>6000</v>
      </c>
      <c r="E10" s="45">
        <f>C10*'Category sub-totals'!$B$25</f>
        <v>500</v>
      </c>
      <c r="F10" s="269"/>
      <c r="G10" s="46">
        <f>D10*'Category sub-totals'!$B$25</f>
        <v>30000</v>
      </c>
      <c r="H10" s="135"/>
      <c r="I10" s="136" t="s">
        <v>35</v>
      </c>
      <c r="J10" s="45"/>
      <c r="K10" s="136" t="s">
        <v>35</v>
      </c>
      <c r="L10" s="45"/>
      <c r="M10" s="46" t="str">
        <f t="shared" si="0"/>
        <v>No</v>
      </c>
      <c r="N10" s="59"/>
      <c r="O10" s="267"/>
    </row>
    <row r="11" spans="1:15" ht="15">
      <c r="A11" s="256"/>
      <c r="B11" s="45" t="s">
        <v>65</v>
      </c>
      <c r="C11" s="55">
        <v>20</v>
      </c>
      <c r="D11" s="55">
        <v>6830.7692307692305</v>
      </c>
      <c r="E11" s="45">
        <f>C11*'Category sub-totals'!$B$25</f>
        <v>100</v>
      </c>
      <c r="F11" s="269"/>
      <c r="G11" s="46">
        <f>D11*'Category sub-totals'!$B$25</f>
        <v>34153.846153846156</v>
      </c>
      <c r="H11" s="135"/>
      <c r="I11" s="136" t="s">
        <v>35</v>
      </c>
      <c r="J11" s="45"/>
      <c r="K11" s="45"/>
      <c r="L11" s="45"/>
      <c r="M11" s="46" t="str">
        <f t="shared" si="0"/>
        <v>No</v>
      </c>
      <c r="N11" s="59"/>
      <c r="O11" s="267"/>
    </row>
    <row r="12" spans="1:15" ht="15">
      <c r="A12" s="256"/>
      <c r="B12" s="45" t="s">
        <v>185</v>
      </c>
      <c r="C12" s="55">
        <v>10</v>
      </c>
      <c r="D12" s="55">
        <v>482.3076923076923</v>
      </c>
      <c r="E12" s="45">
        <f>C12*'Category sub-totals'!$B$25</f>
        <v>50</v>
      </c>
      <c r="F12" s="269"/>
      <c r="G12" s="46">
        <f>D12*'Category sub-totals'!$B$25</f>
        <v>2411.5384615384614</v>
      </c>
      <c r="H12" s="135"/>
      <c r="I12" s="136" t="s">
        <v>35</v>
      </c>
      <c r="J12" s="45"/>
      <c r="K12" s="45"/>
      <c r="L12" s="45"/>
      <c r="M12" s="46" t="str">
        <f t="shared" si="0"/>
        <v>No</v>
      </c>
      <c r="N12" s="59"/>
      <c r="O12" s="267"/>
    </row>
    <row r="13" spans="1:15" ht="15" customHeight="1" hidden="1">
      <c r="A13" s="256"/>
      <c r="B13" s="45"/>
      <c r="C13" s="55"/>
      <c r="D13" s="55"/>
      <c r="E13" s="45">
        <f>C13*'Category sub-totals'!$B$25</f>
        <v>0</v>
      </c>
      <c r="F13" s="269"/>
      <c r="G13" s="46">
        <f>D13*'Category sub-totals'!$B$25</f>
        <v>0</v>
      </c>
      <c r="H13" s="135"/>
      <c r="I13" s="54"/>
      <c r="J13" s="45"/>
      <c r="K13" s="45"/>
      <c r="L13" s="45"/>
      <c r="M13" s="46" t="str">
        <f t="shared" si="0"/>
        <v>No</v>
      </c>
      <c r="N13" s="59"/>
      <c r="O13" s="267"/>
    </row>
    <row r="14" spans="1:15" ht="15" customHeight="1" hidden="1">
      <c r="A14" s="256"/>
      <c r="B14" s="45"/>
      <c r="C14" s="55"/>
      <c r="D14" s="55"/>
      <c r="E14" s="45">
        <f>C14*'Category sub-totals'!$B$25</f>
        <v>0</v>
      </c>
      <c r="F14" s="269"/>
      <c r="G14" s="46">
        <f>D14*'Category sub-totals'!$B$25</f>
        <v>0</v>
      </c>
      <c r="H14" s="135"/>
      <c r="I14" s="136" t="s">
        <v>35</v>
      </c>
      <c r="J14" s="45"/>
      <c r="K14" s="45"/>
      <c r="L14" s="45"/>
      <c r="M14" s="46" t="str">
        <f t="shared" si="0"/>
        <v>No</v>
      </c>
      <c r="N14" s="59"/>
      <c r="O14" s="267"/>
    </row>
    <row r="15" spans="1:15" ht="15" customHeight="1" hidden="1">
      <c r="A15" s="256"/>
      <c r="B15" s="45"/>
      <c r="C15" s="55"/>
      <c r="D15" s="55"/>
      <c r="E15" s="45">
        <f>C15*'Category sub-totals'!$B$25</f>
        <v>0</v>
      </c>
      <c r="F15" s="269"/>
      <c r="G15" s="46">
        <f>D15*'Category sub-totals'!$B$25</f>
        <v>0</v>
      </c>
      <c r="H15" s="135"/>
      <c r="I15" s="54"/>
      <c r="J15" s="45"/>
      <c r="K15" s="45"/>
      <c r="L15" s="45"/>
      <c r="M15" s="46" t="str">
        <f t="shared" si="0"/>
        <v>No</v>
      </c>
      <c r="N15" s="59"/>
      <c r="O15" s="267"/>
    </row>
    <row r="16" spans="1:15" ht="15" customHeight="1" hidden="1">
      <c r="A16" s="256"/>
      <c r="B16" s="45"/>
      <c r="C16" s="55"/>
      <c r="D16" s="55"/>
      <c r="E16" s="45">
        <f>C16*'Category sub-totals'!$B$25</f>
        <v>0</v>
      </c>
      <c r="F16" s="269"/>
      <c r="G16" s="46">
        <f>D16*'Category sub-totals'!$B$25</f>
        <v>0</v>
      </c>
      <c r="H16" s="135"/>
      <c r="I16" s="45"/>
      <c r="J16" s="50" t="s">
        <v>35</v>
      </c>
      <c r="K16" s="45"/>
      <c r="L16" s="45"/>
      <c r="M16" s="46" t="str">
        <f t="shared" si="0"/>
        <v>No</v>
      </c>
      <c r="N16" s="59"/>
      <c r="O16" s="267"/>
    </row>
    <row r="17" spans="1:15" ht="15" customHeight="1" hidden="1">
      <c r="A17" s="256"/>
      <c r="B17" s="45"/>
      <c r="C17" s="55"/>
      <c r="D17" s="55"/>
      <c r="E17" s="45">
        <f>C17*'Category sub-totals'!$B$25</f>
        <v>0</v>
      </c>
      <c r="F17" s="269"/>
      <c r="G17" s="46">
        <f>D17*'Category sub-totals'!$B$25</f>
        <v>0</v>
      </c>
      <c r="H17" s="135"/>
      <c r="I17" s="45"/>
      <c r="J17" s="45"/>
      <c r="K17" s="45"/>
      <c r="L17" s="45"/>
      <c r="M17" s="46" t="str">
        <f t="shared" si="0"/>
        <v>No</v>
      </c>
      <c r="N17" s="59"/>
      <c r="O17" s="267"/>
    </row>
    <row r="18" spans="1:15" ht="15" customHeight="1" hidden="1">
      <c r="A18" s="256"/>
      <c r="B18" s="45"/>
      <c r="C18" s="55"/>
      <c r="D18" s="55"/>
      <c r="E18" s="45">
        <f>C18*'Category sub-totals'!$B$25</f>
        <v>0</v>
      </c>
      <c r="F18" s="269"/>
      <c r="G18" s="46">
        <f>D18*'Category sub-totals'!$B$25</f>
        <v>0</v>
      </c>
      <c r="H18" s="135"/>
      <c r="I18" s="45"/>
      <c r="J18" s="45"/>
      <c r="K18" s="45"/>
      <c r="L18" s="45"/>
      <c r="M18" s="46" t="str">
        <f t="shared" si="0"/>
        <v>No</v>
      </c>
      <c r="N18" s="59"/>
      <c r="O18" s="267"/>
    </row>
    <row r="19" spans="1:15" ht="15" customHeight="1" hidden="1">
      <c r="A19" s="256"/>
      <c r="B19" s="45"/>
      <c r="C19" s="55"/>
      <c r="D19" s="55"/>
      <c r="E19" s="45">
        <f>C19*'Category sub-totals'!$B$25</f>
        <v>0</v>
      </c>
      <c r="F19" s="269"/>
      <c r="G19" s="46">
        <f>D19*'Category sub-totals'!$B$25</f>
        <v>0</v>
      </c>
      <c r="H19" s="135"/>
      <c r="I19" s="45"/>
      <c r="J19" s="45"/>
      <c r="K19" s="45"/>
      <c r="L19" s="45"/>
      <c r="M19" s="46" t="str">
        <f t="shared" si="0"/>
        <v>No</v>
      </c>
      <c r="N19" s="59"/>
      <c r="O19" s="267"/>
    </row>
    <row r="20" spans="1:15" ht="15">
      <c r="A20" s="256"/>
      <c r="B20" s="54"/>
      <c r="C20" s="55"/>
      <c r="D20" s="55"/>
      <c r="E20" s="45">
        <f>C20*'Category sub-totals'!$B$25</f>
        <v>0</v>
      </c>
      <c r="F20" s="269"/>
      <c r="G20" s="46">
        <f>D20*'Category sub-totals'!$B$25</f>
        <v>0</v>
      </c>
      <c r="H20" s="135"/>
      <c r="I20" s="45"/>
      <c r="J20" s="45"/>
      <c r="K20" s="45"/>
      <c r="L20" s="45"/>
      <c r="M20" s="46" t="str">
        <f t="shared" si="0"/>
        <v>No</v>
      </c>
      <c r="N20" s="59"/>
      <c r="O20" s="267"/>
    </row>
    <row r="21" spans="1:15" ht="16.2" thickBot="1">
      <c r="A21" s="257"/>
      <c r="B21" s="201" t="s">
        <v>20</v>
      </c>
      <c r="C21" s="202"/>
      <c r="D21" s="202"/>
      <c r="E21" s="201"/>
      <c r="F21" s="203"/>
      <c r="G21" s="49">
        <f>SUM(G4:G20)</f>
        <v>216826.32692307694</v>
      </c>
      <c r="H21" s="200">
        <f>+G21/$G$115</f>
        <v>0.6773262482963507</v>
      </c>
      <c r="I21" s="52" t="s">
        <v>33</v>
      </c>
      <c r="J21" s="52" t="s">
        <v>33</v>
      </c>
      <c r="K21" s="52" t="s">
        <v>34</v>
      </c>
      <c r="L21" s="52" t="s">
        <v>33</v>
      </c>
      <c r="M21" s="63" t="str">
        <f t="shared" si="0"/>
        <v>No</v>
      </c>
      <c r="N21" s="139"/>
      <c r="O21" s="140"/>
    </row>
    <row r="22" spans="1:15" ht="27.6">
      <c r="A22" s="256" t="s">
        <v>2</v>
      </c>
      <c r="B22" s="41" t="s">
        <v>109</v>
      </c>
      <c r="C22" s="41"/>
      <c r="D22" s="41"/>
      <c r="E22" s="42">
        <f>'Category sub-totals'!$B$25</f>
        <v>5</v>
      </c>
      <c r="F22" s="68" t="s">
        <v>188</v>
      </c>
      <c r="G22" s="46">
        <f>D22*E22</f>
        <v>0</v>
      </c>
      <c r="H22" s="135"/>
      <c r="I22" s="45"/>
      <c r="J22" s="45"/>
      <c r="K22" s="45"/>
      <c r="L22" s="45"/>
      <c r="M22" s="46" t="str">
        <f>IF(AND(I22="Yes",J22="Yes",K22="Yes",L22="No"),"Yes","No")</f>
        <v>No</v>
      </c>
      <c r="N22" s="59"/>
      <c r="O22" s="141"/>
    </row>
    <row r="23" spans="1:15" ht="15">
      <c r="A23" s="256"/>
      <c r="B23" s="204" t="s">
        <v>187</v>
      </c>
      <c r="C23" s="204">
        <v>450</v>
      </c>
      <c r="D23" s="205">
        <f>3964*C23/1000</f>
        <v>1783.8</v>
      </c>
      <c r="E23" s="41">
        <v>5</v>
      </c>
      <c r="F23" s="68" t="s">
        <v>190</v>
      </c>
      <c r="G23" s="46">
        <f>D23*E23</f>
        <v>8919</v>
      </c>
      <c r="H23" s="135"/>
      <c r="I23" s="45"/>
      <c r="J23" s="45"/>
      <c r="K23" s="45"/>
      <c r="L23" s="45"/>
      <c r="M23" s="46" t="str">
        <f>IF(AND(I23="Yes",J23="Yes",K23="Yes",L23="No"),"Yes","No")</f>
        <v>No</v>
      </c>
      <c r="N23" s="59"/>
      <c r="O23" s="141"/>
    </row>
    <row r="24" spans="1:15" ht="27.6">
      <c r="A24" s="256"/>
      <c r="B24" s="41" t="s">
        <v>100</v>
      </c>
      <c r="C24" s="41" t="s">
        <v>41</v>
      </c>
      <c r="D24" s="41"/>
      <c r="E24" s="42">
        <f>'Category sub-totals'!$B$26</f>
        <v>1</v>
      </c>
      <c r="F24" s="68" t="s">
        <v>189</v>
      </c>
      <c r="G24" s="46">
        <f aca="true" t="shared" si="1" ref="G24:G96">D24*E24</f>
        <v>0</v>
      </c>
      <c r="H24" s="135"/>
      <c r="I24" s="45"/>
      <c r="J24" s="45"/>
      <c r="K24" s="45"/>
      <c r="L24" s="45"/>
      <c r="M24" s="46" t="str">
        <f aca="true" t="shared" si="2" ref="M24:M32">IF(AND(I24="Yes",J24="Yes",K24="Yes",L24="No"),"Yes","No")</f>
        <v>No</v>
      </c>
      <c r="N24" s="59"/>
      <c r="O24" s="141"/>
    </row>
    <row r="25" spans="1:15" ht="15">
      <c r="A25" s="256"/>
      <c r="B25" s="41" t="s">
        <v>21</v>
      </c>
      <c r="C25" s="51" t="s">
        <v>42</v>
      </c>
      <c r="D25" s="41"/>
      <c r="E25" s="42">
        <f>'Category sub-totals'!$B$25</f>
        <v>5</v>
      </c>
      <c r="F25" s="40"/>
      <c r="G25" s="46">
        <f t="shared" si="1"/>
        <v>0</v>
      </c>
      <c r="H25" s="135"/>
      <c r="I25" s="45"/>
      <c r="J25" s="45"/>
      <c r="K25" s="45"/>
      <c r="L25" s="45"/>
      <c r="M25" s="46" t="str">
        <f t="shared" si="2"/>
        <v>No</v>
      </c>
      <c r="N25" s="59"/>
      <c r="O25" s="141"/>
    </row>
    <row r="26" spans="1:15" ht="15">
      <c r="A26" s="256"/>
      <c r="B26" s="41" t="s">
        <v>43</v>
      </c>
      <c r="C26" s="51" t="s">
        <v>71</v>
      </c>
      <c r="D26" s="41"/>
      <c r="E26" s="42">
        <f>'Category sub-totals'!$B$25</f>
        <v>5</v>
      </c>
      <c r="F26" s="40"/>
      <c r="G26" s="46">
        <f t="shared" si="1"/>
        <v>0</v>
      </c>
      <c r="H26" s="135"/>
      <c r="I26" s="45" t="s">
        <v>34</v>
      </c>
      <c r="J26" s="45" t="s">
        <v>34</v>
      </c>
      <c r="K26" s="45" t="s">
        <v>34</v>
      </c>
      <c r="L26" s="54" t="s">
        <v>34</v>
      </c>
      <c r="M26" s="46" t="str">
        <f t="shared" si="2"/>
        <v>No</v>
      </c>
      <c r="N26" s="59" t="s">
        <v>99</v>
      </c>
      <c r="O26" s="141"/>
    </row>
    <row r="27" spans="1:15" ht="15" customHeight="1">
      <c r="A27" s="256"/>
      <c r="B27" s="41"/>
      <c r="C27" s="41"/>
      <c r="D27" s="41"/>
      <c r="E27" s="42">
        <f>'Category sub-totals'!$B$25</f>
        <v>5</v>
      </c>
      <c r="F27" s="40"/>
      <c r="G27" s="46">
        <f t="shared" si="1"/>
        <v>0</v>
      </c>
      <c r="H27" s="135"/>
      <c r="I27" s="45"/>
      <c r="J27" s="45"/>
      <c r="K27" s="45"/>
      <c r="L27" s="45"/>
      <c r="M27" s="46" t="str">
        <f t="shared" si="2"/>
        <v>No</v>
      </c>
      <c r="N27" s="59"/>
      <c r="O27" s="141"/>
    </row>
    <row r="28" spans="1:15" ht="15" customHeight="1" hidden="1">
      <c r="A28" s="256"/>
      <c r="B28" s="41"/>
      <c r="C28" s="41"/>
      <c r="D28" s="41"/>
      <c r="E28" s="42">
        <f>'Category sub-totals'!$B$25</f>
        <v>5</v>
      </c>
      <c r="F28" s="40"/>
      <c r="G28" s="46">
        <f t="shared" si="1"/>
        <v>0</v>
      </c>
      <c r="H28" s="135"/>
      <c r="I28" s="45"/>
      <c r="J28" s="45"/>
      <c r="K28" s="45"/>
      <c r="L28" s="45"/>
      <c r="M28" s="46" t="str">
        <f t="shared" si="2"/>
        <v>No</v>
      </c>
      <c r="N28" s="59"/>
      <c r="O28" s="141"/>
    </row>
    <row r="29" spans="1:15" ht="15" customHeight="1" hidden="1">
      <c r="A29" s="256"/>
      <c r="B29" s="41"/>
      <c r="C29" s="41"/>
      <c r="D29" s="41"/>
      <c r="E29" s="42">
        <f>'Category sub-totals'!$B$25</f>
        <v>5</v>
      </c>
      <c r="F29" s="40"/>
      <c r="G29" s="46">
        <f t="shared" si="1"/>
        <v>0</v>
      </c>
      <c r="H29" s="135"/>
      <c r="I29" s="45"/>
      <c r="J29" s="45"/>
      <c r="K29" s="45"/>
      <c r="L29" s="45"/>
      <c r="M29" s="46" t="str">
        <f t="shared" si="2"/>
        <v>No</v>
      </c>
      <c r="N29" s="59"/>
      <c r="O29" s="141"/>
    </row>
    <row r="30" spans="1:15" ht="15" customHeight="1" hidden="1">
      <c r="A30" s="256"/>
      <c r="B30" s="41"/>
      <c r="C30" s="41"/>
      <c r="D30" s="41"/>
      <c r="E30" s="42">
        <f>'Category sub-totals'!$B$25</f>
        <v>5</v>
      </c>
      <c r="F30" s="40"/>
      <c r="G30" s="46">
        <f t="shared" si="1"/>
        <v>0</v>
      </c>
      <c r="H30" s="135"/>
      <c r="I30" s="45"/>
      <c r="J30" s="45"/>
      <c r="K30" s="45"/>
      <c r="L30" s="45"/>
      <c r="M30" s="46" t="str">
        <f t="shared" si="2"/>
        <v>No</v>
      </c>
      <c r="N30" s="59"/>
      <c r="O30" s="141"/>
    </row>
    <row r="31" spans="1:15" ht="15">
      <c r="A31" s="256"/>
      <c r="B31" s="41"/>
      <c r="C31" s="41"/>
      <c r="D31" s="41"/>
      <c r="E31" s="42">
        <f>'Category sub-totals'!$B$25</f>
        <v>5</v>
      </c>
      <c r="F31" s="40"/>
      <c r="G31" s="46">
        <f t="shared" si="1"/>
        <v>0</v>
      </c>
      <c r="H31" s="135"/>
      <c r="I31" s="45"/>
      <c r="J31" s="45"/>
      <c r="K31" s="45"/>
      <c r="L31" s="45"/>
      <c r="M31" s="46" t="str">
        <f t="shared" si="2"/>
        <v>No</v>
      </c>
      <c r="N31" s="59"/>
      <c r="O31" s="141"/>
    </row>
    <row r="32" spans="1:15" ht="16.2" thickBot="1">
      <c r="A32" s="257"/>
      <c r="B32" s="206" t="s">
        <v>20</v>
      </c>
      <c r="C32" s="47"/>
      <c r="D32" s="47"/>
      <c r="E32" s="48"/>
      <c r="F32" s="207"/>
      <c r="G32" s="49">
        <f>SUM(G22:G31)</f>
        <v>8919</v>
      </c>
      <c r="H32" s="138">
        <f>+G32/$G$115</f>
        <v>0.02786134365822805</v>
      </c>
      <c r="I32" s="52"/>
      <c r="J32" s="52"/>
      <c r="K32" s="52"/>
      <c r="L32" s="52"/>
      <c r="M32" s="49" t="str">
        <f t="shared" si="2"/>
        <v>No</v>
      </c>
      <c r="N32" s="60"/>
      <c r="O32" s="140"/>
    </row>
    <row r="33" spans="1:15" ht="15">
      <c r="A33" s="270" t="s">
        <v>3</v>
      </c>
      <c r="B33" s="45" t="s">
        <v>3</v>
      </c>
      <c r="C33" s="45"/>
      <c r="D33" s="45"/>
      <c r="E33" s="55">
        <v>3750</v>
      </c>
      <c r="F33" s="53" t="s">
        <v>113</v>
      </c>
      <c r="G33" s="142">
        <v>3750</v>
      </c>
      <c r="H33" s="133"/>
      <c r="I33" s="43"/>
      <c r="J33" s="43"/>
      <c r="K33" s="43"/>
      <c r="L33" s="43"/>
      <c r="M33" s="44" t="str">
        <f>IF(AND(I33="Yes",J33="Yes",K33="Yes",L33="No"),"Yes","No")</f>
        <v>No</v>
      </c>
      <c r="N33" s="61"/>
      <c r="O33" s="143"/>
    </row>
    <row r="34" spans="1:15" ht="15" hidden="1">
      <c r="A34" s="256"/>
      <c r="E34" s="55">
        <f>'Category sub-totals'!$B$25</f>
        <v>5</v>
      </c>
      <c r="G34" s="46">
        <f t="shared" si="1"/>
        <v>0</v>
      </c>
      <c r="H34" s="135"/>
      <c r="I34" s="45"/>
      <c r="J34" s="45"/>
      <c r="K34" s="45"/>
      <c r="L34" s="45"/>
      <c r="M34" s="46" t="str">
        <f>IF(AND(I34="Yes",J34="Yes",K34="Yes",L34="No"),"Yes","No")</f>
        <v>No</v>
      </c>
      <c r="N34" s="59"/>
      <c r="O34" s="141"/>
    </row>
    <row r="35" spans="1:15" ht="15" customHeight="1" hidden="1">
      <c r="A35" s="256"/>
      <c r="B35" s="45"/>
      <c r="C35" s="45"/>
      <c r="D35" s="45"/>
      <c r="E35" s="55">
        <f>'Category sub-totals'!$B$25</f>
        <v>5</v>
      </c>
      <c r="F35" s="53"/>
      <c r="G35" s="46">
        <f t="shared" si="1"/>
        <v>0</v>
      </c>
      <c r="H35" s="135"/>
      <c r="I35" s="45"/>
      <c r="J35" s="45"/>
      <c r="K35" s="45"/>
      <c r="L35" s="45"/>
      <c r="M35" s="46" t="str">
        <f aca="true" t="shared" si="3" ref="M35:M39">IF(AND(I35="Yes",J35="Yes",K35="Yes",L35="No"),"Yes","No")</f>
        <v>No</v>
      </c>
      <c r="N35" s="59"/>
      <c r="O35" s="141"/>
    </row>
    <row r="36" spans="1:15" ht="15" customHeight="1" hidden="1">
      <c r="A36" s="256"/>
      <c r="B36" s="45"/>
      <c r="C36" s="45"/>
      <c r="D36" s="45"/>
      <c r="E36" s="55">
        <f>'Category sub-totals'!$B$25</f>
        <v>5</v>
      </c>
      <c r="F36" s="53"/>
      <c r="G36" s="46">
        <f t="shared" si="1"/>
        <v>0</v>
      </c>
      <c r="H36" s="135"/>
      <c r="I36" s="45"/>
      <c r="J36" s="45"/>
      <c r="K36" s="45"/>
      <c r="L36" s="45"/>
      <c r="M36" s="46" t="str">
        <f t="shared" si="3"/>
        <v>No</v>
      </c>
      <c r="N36" s="59"/>
      <c r="O36" s="141"/>
    </row>
    <row r="37" spans="1:15" ht="15" customHeight="1" hidden="1">
      <c r="A37" s="256"/>
      <c r="B37" s="45"/>
      <c r="C37" s="45"/>
      <c r="D37" s="45"/>
      <c r="E37" s="55">
        <f>'Category sub-totals'!$B$25</f>
        <v>5</v>
      </c>
      <c r="F37" s="53"/>
      <c r="G37" s="46">
        <f t="shared" si="1"/>
        <v>0</v>
      </c>
      <c r="H37" s="135"/>
      <c r="I37" s="45"/>
      <c r="J37" s="45"/>
      <c r="K37" s="45"/>
      <c r="L37" s="45"/>
      <c r="M37" s="46" t="str">
        <f t="shared" si="3"/>
        <v>No</v>
      </c>
      <c r="N37" s="59"/>
      <c r="O37" s="141"/>
    </row>
    <row r="38" spans="1:15" ht="15">
      <c r="A38" s="256"/>
      <c r="B38" s="54"/>
      <c r="C38" s="45"/>
      <c r="D38" s="45"/>
      <c r="E38" s="55">
        <f>'Category sub-totals'!$B$25</f>
        <v>5</v>
      </c>
      <c r="F38" s="53"/>
      <c r="G38" s="46">
        <f t="shared" si="1"/>
        <v>0</v>
      </c>
      <c r="H38" s="135"/>
      <c r="I38" s="45"/>
      <c r="J38" s="45"/>
      <c r="K38" s="45"/>
      <c r="L38" s="45"/>
      <c r="M38" s="46" t="str">
        <f t="shared" si="3"/>
        <v>No</v>
      </c>
      <c r="N38" s="59"/>
      <c r="O38" s="141"/>
    </row>
    <row r="39" spans="1:15" ht="16.2" thickBot="1">
      <c r="A39" s="257"/>
      <c r="B39" s="137" t="s">
        <v>20</v>
      </c>
      <c r="C39" s="52"/>
      <c r="D39" s="52"/>
      <c r="E39" s="56"/>
      <c r="F39" s="62"/>
      <c r="G39" s="49">
        <f>SUM(G33:G38)</f>
        <v>3750</v>
      </c>
      <c r="H39" s="138">
        <f>+G39/$G$115</f>
        <v>0.011714322089735978</v>
      </c>
      <c r="I39" s="52"/>
      <c r="J39" s="52"/>
      <c r="K39" s="52"/>
      <c r="L39" s="52"/>
      <c r="M39" s="49" t="str">
        <f t="shared" si="3"/>
        <v>No</v>
      </c>
      <c r="N39" s="60"/>
      <c r="O39" s="140"/>
    </row>
    <row r="40" spans="1:15" ht="15">
      <c r="A40" s="258" t="s">
        <v>4</v>
      </c>
      <c r="B40" s="43" t="s">
        <v>191</v>
      </c>
      <c r="C40" s="43"/>
      <c r="D40" s="43"/>
      <c r="E40" s="58"/>
      <c r="F40" s="57"/>
      <c r="G40" s="44">
        <f t="shared" si="1"/>
        <v>0</v>
      </c>
      <c r="H40" s="133"/>
      <c r="I40" s="43"/>
      <c r="J40" s="43"/>
      <c r="K40" s="43"/>
      <c r="L40" s="43"/>
      <c r="M40" s="44" t="str">
        <f>IF(AND(I40="Yes",J40="Yes",K40="Yes",L40="No"),"Yes","No")</f>
        <v>No</v>
      </c>
      <c r="N40" s="61"/>
      <c r="O40" s="143"/>
    </row>
    <row r="41" spans="1:15" ht="15" customHeight="1" hidden="1">
      <c r="A41" s="259"/>
      <c r="B41" s="45"/>
      <c r="C41" s="45"/>
      <c r="D41" s="45"/>
      <c r="E41" s="55"/>
      <c r="F41" s="53"/>
      <c r="G41" s="46">
        <f t="shared" si="1"/>
        <v>0</v>
      </c>
      <c r="H41" s="135"/>
      <c r="I41" s="45"/>
      <c r="J41" s="45"/>
      <c r="K41" s="45"/>
      <c r="L41" s="45"/>
      <c r="M41" s="46" t="str">
        <f aca="true" t="shared" si="4" ref="M41:M44">IF(AND(I41="Yes",J41="Yes",K41="Yes",L41="No"),"Yes","No")</f>
        <v>No</v>
      </c>
      <c r="N41" s="59"/>
      <c r="O41" s="141"/>
    </row>
    <row r="42" spans="1:15" ht="15" customHeight="1" hidden="1">
      <c r="A42" s="259"/>
      <c r="B42" s="45"/>
      <c r="C42" s="45"/>
      <c r="D42" s="45"/>
      <c r="E42" s="55"/>
      <c r="F42" s="53"/>
      <c r="G42" s="46">
        <f t="shared" si="1"/>
        <v>0</v>
      </c>
      <c r="H42" s="135"/>
      <c r="I42" s="45"/>
      <c r="J42" s="45"/>
      <c r="K42" s="45"/>
      <c r="L42" s="45"/>
      <c r="M42" s="46" t="str">
        <f t="shared" si="4"/>
        <v>No</v>
      </c>
      <c r="N42" s="59"/>
      <c r="O42" s="141"/>
    </row>
    <row r="43" spans="1:15" ht="15" customHeight="1" hidden="1">
      <c r="A43" s="259"/>
      <c r="B43" s="45"/>
      <c r="C43" s="45"/>
      <c r="D43" s="45"/>
      <c r="E43" s="55"/>
      <c r="F43" s="53"/>
      <c r="G43" s="46">
        <f t="shared" si="1"/>
        <v>0</v>
      </c>
      <c r="H43" s="135"/>
      <c r="I43" s="45"/>
      <c r="J43" s="45"/>
      <c r="K43" s="45"/>
      <c r="L43" s="45"/>
      <c r="M43" s="46" t="str">
        <f t="shared" si="4"/>
        <v>No</v>
      </c>
      <c r="N43" s="59"/>
      <c r="O43" s="141"/>
    </row>
    <row r="44" spans="1:15" ht="15" customHeight="1" hidden="1">
      <c r="A44" s="259"/>
      <c r="B44" s="45"/>
      <c r="C44" s="45"/>
      <c r="D44" s="45"/>
      <c r="E44" s="55"/>
      <c r="F44" s="53"/>
      <c r="G44" s="46">
        <f t="shared" si="1"/>
        <v>0</v>
      </c>
      <c r="H44" s="135"/>
      <c r="I44" s="45"/>
      <c r="J44" s="45"/>
      <c r="K44" s="45"/>
      <c r="L44" s="45"/>
      <c r="M44" s="46" t="str">
        <f t="shared" si="4"/>
        <v>No</v>
      </c>
      <c r="N44" s="59"/>
      <c r="O44" s="141"/>
    </row>
    <row r="45" spans="1:15" ht="15">
      <c r="A45" s="259"/>
      <c r="B45" s="54" t="s">
        <v>121</v>
      </c>
      <c r="C45" s="45"/>
      <c r="D45" s="45"/>
      <c r="E45" s="55"/>
      <c r="F45" s="53"/>
      <c r="G45" s="46">
        <f t="shared" si="1"/>
        <v>0</v>
      </c>
      <c r="H45" s="135"/>
      <c r="I45" s="54"/>
      <c r="J45" s="45"/>
      <c r="K45" s="45"/>
      <c r="L45" s="45"/>
      <c r="M45" s="46" t="str">
        <f>IF(AND(I45="Yes",J45="Yes",K45="Yes",L45="No"),"Yes","No")</f>
        <v>No</v>
      </c>
      <c r="N45" s="59"/>
      <c r="O45" s="141"/>
    </row>
    <row r="46" spans="1:15" ht="16.2" thickBot="1">
      <c r="A46" s="260"/>
      <c r="B46" s="137" t="s">
        <v>20</v>
      </c>
      <c r="C46" s="52"/>
      <c r="D46" s="52"/>
      <c r="E46" s="56"/>
      <c r="F46" s="62" t="s">
        <v>192</v>
      </c>
      <c r="G46" s="144">
        <f>2.5*'Category sub-totals'!B34/100</f>
        <v>4044.375</v>
      </c>
      <c r="H46" s="138">
        <f>+G46/$G$115</f>
        <v>0.012633896373780252</v>
      </c>
      <c r="I46" s="52" t="s">
        <v>33</v>
      </c>
      <c r="J46" s="52" t="s">
        <v>33</v>
      </c>
      <c r="K46" s="52" t="s">
        <v>33</v>
      </c>
      <c r="L46" s="52" t="s">
        <v>34</v>
      </c>
      <c r="M46" s="49" t="str">
        <f>IF(AND(I46="Yes",J46="Yes",K46="Yes",L46="No"),"Yes","No")</f>
        <v>Yes</v>
      </c>
      <c r="N46" s="60"/>
      <c r="O46" s="140"/>
    </row>
    <row r="47" spans="1:15" ht="31.2">
      <c r="A47" s="258" t="s">
        <v>5</v>
      </c>
      <c r="B47" s="43" t="s">
        <v>193</v>
      </c>
      <c r="C47" s="43"/>
      <c r="D47" s="43"/>
      <c r="E47" s="58">
        <f>'Category sub-totals'!$B$25</f>
        <v>5</v>
      </c>
      <c r="F47" s="57" t="s">
        <v>122</v>
      </c>
      <c r="G47" s="44">
        <f t="shared" si="1"/>
        <v>0</v>
      </c>
      <c r="H47" s="133"/>
      <c r="I47" s="43"/>
      <c r="J47" s="43"/>
      <c r="K47" s="43"/>
      <c r="L47" s="43"/>
      <c r="M47" s="46" t="str">
        <f aca="true" t="shared" si="5" ref="M47:M73">IF(AND(I47="Yes",J47="Yes",K47="Yes",L47="No"),"Yes","No")</f>
        <v>No</v>
      </c>
      <c r="N47" s="61"/>
      <c r="O47" s="143"/>
    </row>
    <row r="48" spans="1:15" ht="15" customHeight="1" hidden="1">
      <c r="A48" s="259"/>
      <c r="B48" s="45"/>
      <c r="C48" s="45"/>
      <c r="D48" s="45"/>
      <c r="E48" s="55">
        <f>'Category sub-totals'!$B$25</f>
        <v>5</v>
      </c>
      <c r="F48" s="53"/>
      <c r="G48" s="46">
        <f t="shared" si="1"/>
        <v>0</v>
      </c>
      <c r="H48" s="135"/>
      <c r="I48" s="45"/>
      <c r="J48" s="45"/>
      <c r="K48" s="45"/>
      <c r="L48" s="45"/>
      <c r="M48" s="46" t="str">
        <f t="shared" si="5"/>
        <v>No</v>
      </c>
      <c r="N48" s="59"/>
      <c r="O48" s="141"/>
    </row>
    <row r="49" spans="1:15" ht="15" customHeight="1" hidden="1">
      <c r="A49" s="259"/>
      <c r="B49" s="45"/>
      <c r="C49" s="45"/>
      <c r="D49" s="45"/>
      <c r="E49" s="55">
        <f>'Category sub-totals'!$B$25</f>
        <v>5</v>
      </c>
      <c r="F49" s="53"/>
      <c r="G49" s="46">
        <f t="shared" si="1"/>
        <v>0</v>
      </c>
      <c r="H49" s="135"/>
      <c r="I49" s="45"/>
      <c r="J49" s="45"/>
      <c r="K49" s="45"/>
      <c r="L49" s="45"/>
      <c r="M49" s="46" t="str">
        <f t="shared" si="5"/>
        <v>No</v>
      </c>
      <c r="N49" s="59"/>
      <c r="O49" s="141"/>
    </row>
    <row r="50" spans="1:15" ht="15" customHeight="1" hidden="1">
      <c r="A50" s="259"/>
      <c r="B50" s="45"/>
      <c r="C50" s="45"/>
      <c r="D50" s="45"/>
      <c r="E50" s="55">
        <f>'Category sub-totals'!$B$25</f>
        <v>5</v>
      </c>
      <c r="F50" s="53"/>
      <c r="G50" s="46">
        <f t="shared" si="1"/>
        <v>0</v>
      </c>
      <c r="H50" s="135"/>
      <c r="I50" s="45"/>
      <c r="J50" s="45"/>
      <c r="K50" s="45"/>
      <c r="L50" s="45"/>
      <c r="M50" s="46" t="str">
        <f t="shared" si="5"/>
        <v>No</v>
      </c>
      <c r="N50" s="59"/>
      <c r="O50" s="141"/>
    </row>
    <row r="51" spans="1:15" ht="15" customHeight="1" hidden="1">
      <c r="A51" s="259"/>
      <c r="B51" s="45"/>
      <c r="C51" s="45"/>
      <c r="D51" s="45"/>
      <c r="E51" s="55">
        <f>'Category sub-totals'!$B$25</f>
        <v>5</v>
      </c>
      <c r="F51" s="53"/>
      <c r="G51" s="46">
        <f t="shared" si="1"/>
        <v>0</v>
      </c>
      <c r="H51" s="135"/>
      <c r="I51" s="45"/>
      <c r="J51" s="45"/>
      <c r="K51" s="45"/>
      <c r="L51" s="45"/>
      <c r="M51" s="46" t="str">
        <f t="shared" si="5"/>
        <v>No</v>
      </c>
      <c r="N51" s="59"/>
      <c r="O51" s="141"/>
    </row>
    <row r="52" spans="1:15" ht="15">
      <c r="A52" s="259"/>
      <c r="B52" s="54"/>
      <c r="C52" s="45"/>
      <c r="D52" s="45"/>
      <c r="E52" s="55">
        <f>'Category sub-totals'!$B$25</f>
        <v>5</v>
      </c>
      <c r="F52" s="53"/>
      <c r="G52" s="46">
        <f t="shared" si="1"/>
        <v>0</v>
      </c>
      <c r="H52" s="135"/>
      <c r="I52" s="45"/>
      <c r="J52" s="45"/>
      <c r="K52" s="45"/>
      <c r="L52" s="45"/>
      <c r="M52" s="46" t="str">
        <f t="shared" si="5"/>
        <v>No</v>
      </c>
      <c r="N52" s="59"/>
      <c r="O52" s="141"/>
    </row>
    <row r="53" spans="1:15" ht="31.8" thickBot="1">
      <c r="A53" s="260"/>
      <c r="B53" s="137" t="s">
        <v>20</v>
      </c>
      <c r="C53" s="52"/>
      <c r="D53" s="52"/>
      <c r="E53" s="56"/>
      <c r="F53" s="62" t="s">
        <v>122</v>
      </c>
      <c r="G53" s="144">
        <f>0.15*17792</f>
        <v>2668.7999999999997</v>
      </c>
      <c r="H53" s="138">
        <f>+G53/$G$115</f>
        <v>0.0083368487448233</v>
      </c>
      <c r="I53" s="52"/>
      <c r="J53" s="52"/>
      <c r="K53" s="52"/>
      <c r="L53" s="52"/>
      <c r="M53" s="49" t="str">
        <f t="shared" si="5"/>
        <v>No</v>
      </c>
      <c r="N53" s="60"/>
      <c r="O53" s="140"/>
    </row>
    <row r="54" spans="1:15" ht="15">
      <c r="A54" s="263" t="s">
        <v>81</v>
      </c>
      <c r="B54" s="43" t="s">
        <v>116</v>
      </c>
      <c r="C54" s="134">
        <f>1.1*30</f>
        <v>33</v>
      </c>
      <c r="D54" s="134">
        <f>143</f>
        <v>143</v>
      </c>
      <c r="E54" s="145">
        <f>'Category sub-totals'!$B$25</f>
        <v>5</v>
      </c>
      <c r="F54" s="57" t="s">
        <v>101</v>
      </c>
      <c r="G54" s="44">
        <f>D54*E54*C54</f>
        <v>23595</v>
      </c>
      <c r="H54" s="133"/>
      <c r="I54" s="43"/>
      <c r="J54" s="43"/>
      <c r="K54" s="43"/>
      <c r="L54" s="43"/>
      <c r="M54" s="46" t="str">
        <f t="shared" si="5"/>
        <v>No</v>
      </c>
      <c r="N54" s="61"/>
      <c r="O54" s="143"/>
    </row>
    <row r="55" spans="1:15" ht="46.8">
      <c r="A55" s="264"/>
      <c r="B55" s="45" t="s">
        <v>30</v>
      </c>
      <c r="C55" s="54">
        <v>1</v>
      </c>
      <c r="D55" s="54">
        <v>1000</v>
      </c>
      <c r="E55" s="55">
        <f>'Category sub-totals'!$B$25</f>
        <v>5</v>
      </c>
      <c r="F55" s="53" t="s">
        <v>22</v>
      </c>
      <c r="G55" s="46">
        <f t="shared" si="1"/>
        <v>5000</v>
      </c>
      <c r="H55" s="135"/>
      <c r="I55" s="45"/>
      <c r="J55" s="45"/>
      <c r="K55" s="45"/>
      <c r="L55" s="45"/>
      <c r="M55" s="46" t="str">
        <f t="shared" si="5"/>
        <v>No</v>
      </c>
      <c r="N55" s="59"/>
      <c r="O55" s="141"/>
    </row>
    <row r="56" spans="1:15" ht="15" customHeight="1" hidden="1">
      <c r="A56" s="264"/>
      <c r="B56" s="45"/>
      <c r="C56" s="45"/>
      <c r="D56" s="45"/>
      <c r="E56" s="55">
        <f>'Category sub-totals'!$B$25</f>
        <v>5</v>
      </c>
      <c r="F56" s="53"/>
      <c r="G56" s="46">
        <f t="shared" si="1"/>
        <v>0</v>
      </c>
      <c r="H56" s="135"/>
      <c r="I56" s="45"/>
      <c r="J56" s="45"/>
      <c r="K56" s="45"/>
      <c r="L56" s="45"/>
      <c r="M56" s="46" t="str">
        <f t="shared" si="5"/>
        <v>No</v>
      </c>
      <c r="N56" s="59"/>
      <c r="O56" s="141"/>
    </row>
    <row r="57" spans="1:15" ht="15" customHeight="1" hidden="1">
      <c r="A57" s="264"/>
      <c r="B57" s="45"/>
      <c r="C57" s="45"/>
      <c r="D57" s="45"/>
      <c r="E57" s="55">
        <f>'Category sub-totals'!$B$25</f>
        <v>5</v>
      </c>
      <c r="F57" s="53"/>
      <c r="G57" s="46">
        <f t="shared" si="1"/>
        <v>0</v>
      </c>
      <c r="H57" s="135"/>
      <c r="I57" s="45"/>
      <c r="J57" s="45"/>
      <c r="K57" s="45"/>
      <c r="L57" s="45"/>
      <c r="M57" s="46" t="str">
        <f t="shared" si="5"/>
        <v>No</v>
      </c>
      <c r="N57" s="59"/>
      <c r="O57" s="141"/>
    </row>
    <row r="58" spans="1:15" ht="15" customHeight="1" hidden="1">
      <c r="A58" s="264"/>
      <c r="B58" s="45"/>
      <c r="C58" s="45"/>
      <c r="D58" s="45"/>
      <c r="E58" s="55">
        <f>'Category sub-totals'!$B$25</f>
        <v>5</v>
      </c>
      <c r="F58" s="53"/>
      <c r="G58" s="46">
        <f t="shared" si="1"/>
        <v>0</v>
      </c>
      <c r="H58" s="135"/>
      <c r="I58" s="45"/>
      <c r="J58" s="45"/>
      <c r="K58" s="45"/>
      <c r="L58" s="45"/>
      <c r="M58" s="46" t="str">
        <f t="shared" si="5"/>
        <v>No</v>
      </c>
      <c r="N58" s="59"/>
      <c r="O58" s="141"/>
    </row>
    <row r="59" spans="1:15" ht="15">
      <c r="A59" s="264"/>
      <c r="B59" s="54"/>
      <c r="C59" s="45"/>
      <c r="D59" s="45"/>
      <c r="E59" s="55">
        <f>'Category sub-totals'!$B$25</f>
        <v>5</v>
      </c>
      <c r="F59" s="53"/>
      <c r="G59" s="46">
        <f t="shared" si="1"/>
        <v>0</v>
      </c>
      <c r="H59" s="135"/>
      <c r="I59" s="45"/>
      <c r="J59" s="45"/>
      <c r="K59" s="45"/>
      <c r="L59" s="45"/>
      <c r="M59" s="46" t="str">
        <f t="shared" si="5"/>
        <v>No</v>
      </c>
      <c r="N59" s="59"/>
      <c r="O59" s="141"/>
    </row>
    <row r="60" spans="1:15" ht="16.2" thickBot="1">
      <c r="A60" s="265"/>
      <c r="B60" s="137" t="s">
        <v>20</v>
      </c>
      <c r="C60" s="52"/>
      <c r="D60" s="52"/>
      <c r="E60" s="56"/>
      <c r="F60" s="62"/>
      <c r="G60" s="49">
        <f>SUM(G54:G59)</f>
        <v>28595</v>
      </c>
      <c r="H60" s="138">
        <f>+G60/$G$115</f>
        <v>0.08932561070826675</v>
      </c>
      <c r="I60" s="52"/>
      <c r="J60" s="52"/>
      <c r="K60" s="52"/>
      <c r="L60" s="52"/>
      <c r="M60" s="49" t="str">
        <f t="shared" si="5"/>
        <v>No</v>
      </c>
      <c r="N60" s="60"/>
      <c r="O60" s="140"/>
    </row>
    <row r="61" spans="1:15" ht="15">
      <c r="A61" s="259" t="s">
        <v>7</v>
      </c>
      <c r="B61" s="45" t="s">
        <v>118</v>
      </c>
      <c r="C61" s="45"/>
      <c r="D61" s="45"/>
      <c r="E61" s="55">
        <f>'Category sub-totals'!$B$25</f>
        <v>5</v>
      </c>
      <c r="F61" s="53"/>
      <c r="G61" s="46">
        <f t="shared" si="1"/>
        <v>0</v>
      </c>
      <c r="H61" s="135"/>
      <c r="I61" s="45"/>
      <c r="J61" s="45"/>
      <c r="K61" s="45"/>
      <c r="L61" s="45"/>
      <c r="M61" s="46" t="str">
        <f t="shared" si="5"/>
        <v>No</v>
      </c>
      <c r="N61" s="59"/>
      <c r="O61" s="141"/>
    </row>
    <row r="62" spans="1:15" ht="15" customHeight="1" hidden="1">
      <c r="A62" s="259"/>
      <c r="B62" s="45"/>
      <c r="C62" s="45"/>
      <c r="D62" s="45"/>
      <c r="E62" s="55">
        <f>'Category sub-totals'!$B$25</f>
        <v>5</v>
      </c>
      <c r="F62" s="53"/>
      <c r="G62" s="46">
        <f t="shared" si="1"/>
        <v>0</v>
      </c>
      <c r="H62" s="135"/>
      <c r="I62" s="45"/>
      <c r="J62" s="45"/>
      <c r="K62" s="45"/>
      <c r="L62" s="45"/>
      <c r="M62" s="46" t="str">
        <f t="shared" si="5"/>
        <v>No</v>
      </c>
      <c r="N62" s="59"/>
      <c r="O62" s="141"/>
    </row>
    <row r="63" spans="1:15" ht="15" customHeight="1" hidden="1">
      <c r="A63" s="259"/>
      <c r="B63" s="45"/>
      <c r="C63" s="45"/>
      <c r="D63" s="45"/>
      <c r="E63" s="55">
        <f>'Category sub-totals'!$B$25</f>
        <v>5</v>
      </c>
      <c r="F63" s="53"/>
      <c r="G63" s="46">
        <f t="shared" si="1"/>
        <v>0</v>
      </c>
      <c r="H63" s="135"/>
      <c r="I63" s="45"/>
      <c r="J63" s="45"/>
      <c r="K63" s="45"/>
      <c r="L63" s="45"/>
      <c r="M63" s="46" t="str">
        <f t="shared" si="5"/>
        <v>No</v>
      </c>
      <c r="N63" s="59"/>
      <c r="O63" s="141"/>
    </row>
    <row r="64" spans="1:15" ht="15" customHeight="1" hidden="1">
      <c r="A64" s="259"/>
      <c r="B64" s="45"/>
      <c r="C64" s="45"/>
      <c r="D64" s="45"/>
      <c r="E64" s="55">
        <f>'Category sub-totals'!$B$25</f>
        <v>5</v>
      </c>
      <c r="F64" s="53"/>
      <c r="G64" s="46">
        <f t="shared" si="1"/>
        <v>0</v>
      </c>
      <c r="H64" s="135"/>
      <c r="I64" s="45"/>
      <c r="J64" s="45"/>
      <c r="K64" s="45"/>
      <c r="L64" s="45"/>
      <c r="M64" s="46" t="str">
        <f t="shared" si="5"/>
        <v>No</v>
      </c>
      <c r="N64" s="59"/>
      <c r="O64" s="141"/>
    </row>
    <row r="65" spans="1:15" ht="15">
      <c r="A65" s="259"/>
      <c r="B65" s="45" t="s">
        <v>194</v>
      </c>
      <c r="C65" s="45"/>
      <c r="D65" s="45"/>
      <c r="E65" s="55">
        <f>'Category sub-totals'!$B$25</f>
        <v>5</v>
      </c>
      <c r="F65" s="53"/>
      <c r="G65" s="46">
        <f t="shared" si="1"/>
        <v>0</v>
      </c>
      <c r="H65" s="135"/>
      <c r="I65" s="45"/>
      <c r="J65" s="45"/>
      <c r="K65" s="45"/>
      <c r="L65" s="45"/>
      <c r="M65" s="46" t="str">
        <f t="shared" si="5"/>
        <v>No</v>
      </c>
      <c r="N65" s="59"/>
      <c r="O65" s="141"/>
    </row>
    <row r="66" spans="1:15" ht="16.2" thickBot="1">
      <c r="A66" s="260"/>
      <c r="B66" s="137" t="s">
        <v>20</v>
      </c>
      <c r="C66" s="52"/>
      <c r="D66" s="52"/>
      <c r="E66" s="56"/>
      <c r="F66" s="62" t="s">
        <v>119</v>
      </c>
      <c r="G66" s="144">
        <f>2.631*'Category sub-totals'!B34/100</f>
        <v>4256.300249999999</v>
      </c>
      <c r="H66" s="138">
        <f>+G66/$G$115</f>
        <v>0.013295912543766336</v>
      </c>
      <c r="I66" s="52"/>
      <c r="J66" s="52"/>
      <c r="K66" s="52"/>
      <c r="L66" s="52"/>
      <c r="M66" s="49" t="str">
        <f t="shared" si="5"/>
        <v>No</v>
      </c>
      <c r="N66" s="60"/>
      <c r="O66" s="140"/>
    </row>
    <row r="67" spans="1:15" ht="15">
      <c r="A67" s="258" t="s">
        <v>8</v>
      </c>
      <c r="B67" s="43" t="s">
        <v>123</v>
      </c>
      <c r="C67" s="43"/>
      <c r="D67" s="43"/>
      <c r="E67" s="58">
        <f>'Category sub-totals'!$B$25</f>
        <v>5</v>
      </c>
      <c r="F67" s="57"/>
      <c r="G67" s="44">
        <f t="shared" si="1"/>
        <v>0</v>
      </c>
      <c r="H67" s="133"/>
      <c r="I67" s="43"/>
      <c r="J67" s="43"/>
      <c r="K67" s="43"/>
      <c r="L67" s="43"/>
      <c r="M67" s="46" t="str">
        <f t="shared" si="5"/>
        <v>No</v>
      </c>
      <c r="N67" s="61"/>
      <c r="O67" s="143"/>
    </row>
    <row r="68" spans="1:15" ht="15" customHeight="1" hidden="1">
      <c r="A68" s="259"/>
      <c r="B68" s="45"/>
      <c r="C68" s="45"/>
      <c r="D68" s="45"/>
      <c r="E68" s="55">
        <f>'Category sub-totals'!$B$25</f>
        <v>5</v>
      </c>
      <c r="F68" s="53"/>
      <c r="G68" s="46">
        <f t="shared" si="1"/>
        <v>0</v>
      </c>
      <c r="H68" s="135"/>
      <c r="I68" s="45"/>
      <c r="J68" s="45"/>
      <c r="K68" s="45"/>
      <c r="L68" s="45"/>
      <c r="M68" s="46" t="str">
        <f t="shared" si="5"/>
        <v>No</v>
      </c>
      <c r="N68" s="59"/>
      <c r="O68" s="141"/>
    </row>
    <row r="69" spans="1:15" ht="15" customHeight="1" hidden="1">
      <c r="A69" s="259"/>
      <c r="B69" s="45"/>
      <c r="C69" s="45"/>
      <c r="D69" s="45"/>
      <c r="E69" s="55">
        <f>'Category sub-totals'!$B$25</f>
        <v>5</v>
      </c>
      <c r="F69" s="53"/>
      <c r="G69" s="46">
        <f t="shared" si="1"/>
        <v>0</v>
      </c>
      <c r="H69" s="135"/>
      <c r="I69" s="45"/>
      <c r="J69" s="45"/>
      <c r="K69" s="45"/>
      <c r="L69" s="45"/>
      <c r="M69" s="46" t="str">
        <f t="shared" si="5"/>
        <v>No</v>
      </c>
      <c r="N69" s="59"/>
      <c r="O69" s="141"/>
    </row>
    <row r="70" spans="1:15" ht="15" customHeight="1" hidden="1">
      <c r="A70" s="259"/>
      <c r="B70" s="45"/>
      <c r="C70" s="45"/>
      <c r="D70" s="45"/>
      <c r="E70" s="55">
        <f>'Category sub-totals'!$B$25</f>
        <v>5</v>
      </c>
      <c r="F70" s="53"/>
      <c r="G70" s="46">
        <f t="shared" si="1"/>
        <v>0</v>
      </c>
      <c r="H70" s="135"/>
      <c r="I70" s="45"/>
      <c r="J70" s="45"/>
      <c r="K70" s="45"/>
      <c r="L70" s="45"/>
      <c r="M70" s="46" t="str">
        <f t="shared" si="5"/>
        <v>No</v>
      </c>
      <c r="N70" s="59"/>
      <c r="O70" s="141"/>
    </row>
    <row r="71" spans="1:15" ht="15">
      <c r="A71" s="259"/>
      <c r="B71" s="45" t="s">
        <v>117</v>
      </c>
      <c r="C71" s="45"/>
      <c r="D71" s="45"/>
      <c r="E71" s="55">
        <f>'Category sub-totals'!$B$25</f>
        <v>5</v>
      </c>
      <c r="F71" s="53"/>
      <c r="G71" s="46">
        <f t="shared" si="1"/>
        <v>0</v>
      </c>
      <c r="H71" s="135"/>
      <c r="I71" s="45"/>
      <c r="J71" s="45"/>
      <c r="K71" s="45"/>
      <c r="L71" s="45"/>
      <c r="M71" s="46" t="str">
        <f t="shared" si="5"/>
        <v>No</v>
      </c>
      <c r="N71" s="59"/>
      <c r="O71" s="141"/>
    </row>
    <row r="72" spans="1:15" ht="16.2" thickBot="1">
      <c r="A72" s="260"/>
      <c r="B72" s="137" t="s">
        <v>20</v>
      </c>
      <c r="C72" s="52"/>
      <c r="D72" s="52"/>
      <c r="E72" s="56"/>
      <c r="F72" s="62" t="s">
        <v>120</v>
      </c>
      <c r="G72" s="144">
        <f>6.8*'Category sub-totals'!B34/100</f>
        <v>11000.7</v>
      </c>
      <c r="H72" s="138">
        <f>+G72/$G$115</f>
        <v>0.03436419813668229</v>
      </c>
      <c r="I72" s="52"/>
      <c r="J72" s="52"/>
      <c r="K72" s="52"/>
      <c r="L72" s="52"/>
      <c r="M72" s="49" t="str">
        <f t="shared" si="5"/>
        <v>No</v>
      </c>
      <c r="N72" s="60"/>
      <c r="O72" s="140"/>
    </row>
    <row r="73" spans="1:15" ht="15">
      <c r="A73" s="258" t="s">
        <v>9</v>
      </c>
      <c r="B73" s="134"/>
      <c r="C73" s="43"/>
      <c r="D73" s="43"/>
      <c r="E73" s="58">
        <f>'Category sub-totals'!$B$25</f>
        <v>5</v>
      </c>
      <c r="F73" s="57"/>
      <c r="G73" s="44">
        <f t="shared" si="1"/>
        <v>0</v>
      </c>
      <c r="H73" s="133"/>
      <c r="I73" s="43"/>
      <c r="J73" s="43"/>
      <c r="K73" s="43"/>
      <c r="L73" s="43"/>
      <c r="M73" s="46" t="str">
        <f t="shared" si="5"/>
        <v>No</v>
      </c>
      <c r="N73" s="61"/>
      <c r="O73" s="143"/>
    </row>
    <row r="74" spans="1:15" ht="15" customHeight="1" hidden="1">
      <c r="A74" s="259"/>
      <c r="B74" s="54"/>
      <c r="C74" s="45"/>
      <c r="D74" s="45"/>
      <c r="E74" s="55">
        <f>'Category sub-totals'!$B$25</f>
        <v>5</v>
      </c>
      <c r="F74" s="53"/>
      <c r="G74" s="46">
        <f t="shared" si="1"/>
        <v>0</v>
      </c>
      <c r="H74" s="135"/>
      <c r="I74" s="45"/>
      <c r="J74" s="45"/>
      <c r="K74" s="45"/>
      <c r="L74" s="45"/>
      <c r="M74" s="46" t="str">
        <f aca="true" t="shared" si="6" ref="M74:M114">IF(AND(I74="Yes",J74="Yes",K74="Yes",L74="No"),"Yes","No")</f>
        <v>No</v>
      </c>
      <c r="N74" s="59"/>
      <c r="O74" s="141"/>
    </row>
    <row r="75" spans="1:15" ht="15" customHeight="1" hidden="1">
      <c r="A75" s="259"/>
      <c r="B75" s="54"/>
      <c r="C75" s="45"/>
      <c r="D75" s="45"/>
      <c r="E75" s="55">
        <f>'Category sub-totals'!$B$25</f>
        <v>5</v>
      </c>
      <c r="F75" s="53"/>
      <c r="G75" s="46">
        <f t="shared" si="1"/>
        <v>0</v>
      </c>
      <c r="H75" s="135"/>
      <c r="I75" s="45"/>
      <c r="J75" s="45"/>
      <c r="K75" s="45"/>
      <c r="L75" s="45"/>
      <c r="M75" s="46" t="str">
        <f t="shared" si="6"/>
        <v>No</v>
      </c>
      <c r="N75" s="59"/>
      <c r="O75" s="141"/>
    </row>
    <row r="76" spans="1:15" ht="15" customHeight="1" hidden="1">
      <c r="A76" s="259"/>
      <c r="B76" s="54"/>
      <c r="C76" s="45"/>
      <c r="D76" s="45"/>
      <c r="E76" s="55">
        <f>'Category sub-totals'!$B$25</f>
        <v>5</v>
      </c>
      <c r="F76" s="53"/>
      <c r="G76" s="46">
        <f t="shared" si="1"/>
        <v>0</v>
      </c>
      <c r="H76" s="135"/>
      <c r="I76" s="45"/>
      <c r="J76" s="45"/>
      <c r="K76" s="45"/>
      <c r="L76" s="45"/>
      <c r="M76" s="46" t="str">
        <f t="shared" si="6"/>
        <v>No</v>
      </c>
      <c r="N76" s="59"/>
      <c r="O76" s="141"/>
    </row>
    <row r="77" spans="1:15" ht="15">
      <c r="A77" s="259"/>
      <c r="B77" s="54"/>
      <c r="C77" s="45"/>
      <c r="D77" s="45"/>
      <c r="E77" s="55">
        <f>'Category sub-totals'!$B$25</f>
        <v>5</v>
      </c>
      <c r="F77" s="53"/>
      <c r="G77" s="46">
        <f t="shared" si="1"/>
        <v>0</v>
      </c>
      <c r="H77" s="135"/>
      <c r="I77" s="45"/>
      <c r="J77" s="45"/>
      <c r="K77" s="45"/>
      <c r="L77" s="45"/>
      <c r="M77" s="46" t="str">
        <f t="shared" si="6"/>
        <v>No</v>
      </c>
      <c r="N77" s="59"/>
      <c r="O77" s="141"/>
    </row>
    <row r="78" spans="1:15" ht="16.2" thickBot="1">
      <c r="A78" s="260"/>
      <c r="B78" s="137" t="s">
        <v>20</v>
      </c>
      <c r="C78" s="52"/>
      <c r="D78" s="52"/>
      <c r="E78" s="56"/>
      <c r="F78" s="62"/>
      <c r="G78" s="49">
        <f>SUM(G73:G77)</f>
        <v>0</v>
      </c>
      <c r="H78" s="138">
        <f>+G78/$G$115</f>
        <v>0</v>
      </c>
      <c r="I78" s="52"/>
      <c r="J78" s="52"/>
      <c r="K78" s="52"/>
      <c r="L78" s="52"/>
      <c r="M78" s="49" t="str">
        <f t="shared" si="6"/>
        <v>No</v>
      </c>
      <c r="N78" s="60"/>
      <c r="O78" s="140"/>
    </row>
    <row r="79" spans="1:15" ht="15">
      <c r="A79" s="258" t="s">
        <v>10</v>
      </c>
      <c r="B79" s="43"/>
      <c r="C79" s="43"/>
      <c r="D79" s="43"/>
      <c r="E79" s="58">
        <f>'Category sub-totals'!$B$25</f>
        <v>5</v>
      </c>
      <c r="F79" s="57"/>
      <c r="G79" s="44">
        <f t="shared" si="1"/>
        <v>0</v>
      </c>
      <c r="H79" s="133"/>
      <c r="I79" s="43"/>
      <c r="J79" s="43"/>
      <c r="K79" s="43"/>
      <c r="L79" s="43"/>
      <c r="M79" s="46" t="str">
        <f t="shared" si="6"/>
        <v>No</v>
      </c>
      <c r="N79" s="61"/>
      <c r="O79" s="143"/>
    </row>
    <row r="80" spans="1:15" ht="24" customHeight="1" hidden="1">
      <c r="A80" s="259"/>
      <c r="B80" s="45"/>
      <c r="C80" s="45"/>
      <c r="D80" s="45"/>
      <c r="E80" s="55">
        <f>'Category sub-totals'!$B$25</f>
        <v>5</v>
      </c>
      <c r="F80" s="53"/>
      <c r="G80" s="46">
        <f t="shared" si="1"/>
        <v>0</v>
      </c>
      <c r="H80" s="135"/>
      <c r="I80" s="45"/>
      <c r="J80" s="45"/>
      <c r="K80" s="45"/>
      <c r="L80" s="45"/>
      <c r="M80" s="46" t="str">
        <f t="shared" si="6"/>
        <v>No</v>
      </c>
      <c r="N80" s="59"/>
      <c r="O80" s="141"/>
    </row>
    <row r="81" spans="1:15" ht="15" customHeight="1" hidden="1">
      <c r="A81" s="259"/>
      <c r="B81" s="45"/>
      <c r="C81" s="45"/>
      <c r="D81" s="45"/>
      <c r="E81" s="55">
        <f>'Category sub-totals'!$B$25</f>
        <v>5</v>
      </c>
      <c r="F81" s="53"/>
      <c r="G81" s="46">
        <f t="shared" si="1"/>
        <v>0</v>
      </c>
      <c r="H81" s="135"/>
      <c r="I81" s="45"/>
      <c r="J81" s="45"/>
      <c r="K81" s="45"/>
      <c r="L81" s="45"/>
      <c r="M81" s="46" t="str">
        <f t="shared" si="6"/>
        <v>No</v>
      </c>
      <c r="N81" s="59"/>
      <c r="O81" s="141"/>
    </row>
    <row r="82" spans="1:15" ht="15" customHeight="1" hidden="1">
      <c r="A82" s="259"/>
      <c r="B82" s="45"/>
      <c r="C82" s="45"/>
      <c r="D82" s="45"/>
      <c r="E82" s="55">
        <f>'Category sub-totals'!$B$25</f>
        <v>5</v>
      </c>
      <c r="F82" s="53"/>
      <c r="G82" s="46">
        <f t="shared" si="1"/>
        <v>0</v>
      </c>
      <c r="H82" s="135"/>
      <c r="I82" s="45"/>
      <c r="J82" s="45"/>
      <c r="K82" s="45"/>
      <c r="L82" s="45"/>
      <c r="M82" s="46" t="str">
        <f t="shared" si="6"/>
        <v>No</v>
      </c>
      <c r="N82" s="59"/>
      <c r="O82" s="141"/>
    </row>
    <row r="83" spans="1:15" ht="15" customHeight="1" hidden="1">
      <c r="A83" s="259"/>
      <c r="B83" s="45"/>
      <c r="C83" s="45"/>
      <c r="D83" s="45"/>
      <c r="E83" s="55">
        <f>'Category sub-totals'!$B$25</f>
        <v>5</v>
      </c>
      <c r="F83" s="53"/>
      <c r="G83" s="46">
        <f t="shared" si="1"/>
        <v>0</v>
      </c>
      <c r="H83" s="135"/>
      <c r="I83" s="45"/>
      <c r="J83" s="45"/>
      <c r="K83" s="45"/>
      <c r="L83" s="45"/>
      <c r="M83" s="46" t="str">
        <f t="shared" si="6"/>
        <v>No</v>
      </c>
      <c r="N83" s="59"/>
      <c r="O83" s="141"/>
    </row>
    <row r="84" spans="1:15" ht="15">
      <c r="A84" s="259"/>
      <c r="B84" s="45"/>
      <c r="C84" s="45"/>
      <c r="D84" s="45"/>
      <c r="E84" s="55">
        <f>'Category sub-totals'!$B$25</f>
        <v>5</v>
      </c>
      <c r="F84" s="53"/>
      <c r="G84" s="46">
        <f t="shared" si="1"/>
        <v>0</v>
      </c>
      <c r="H84" s="135"/>
      <c r="I84" s="45"/>
      <c r="J84" s="45"/>
      <c r="K84" s="45"/>
      <c r="L84" s="45"/>
      <c r="M84" s="46" t="str">
        <f t="shared" si="6"/>
        <v>No</v>
      </c>
      <c r="N84" s="59"/>
      <c r="O84" s="141"/>
    </row>
    <row r="85" spans="1:15" ht="16.2" thickBot="1">
      <c r="A85" s="260"/>
      <c r="B85" s="137" t="s">
        <v>20</v>
      </c>
      <c r="C85" s="52"/>
      <c r="D85" s="52"/>
      <c r="E85" s="56"/>
      <c r="F85" s="62"/>
      <c r="G85" s="49">
        <f>SUM(G79:G84)</f>
        <v>0</v>
      </c>
      <c r="H85" s="138">
        <f>+G85/$G$115</f>
        <v>0</v>
      </c>
      <c r="I85" s="52"/>
      <c r="J85" s="52"/>
      <c r="K85" s="52"/>
      <c r="L85" s="52"/>
      <c r="M85" s="49" t="str">
        <f t="shared" si="6"/>
        <v>No</v>
      </c>
      <c r="N85" s="60"/>
      <c r="O85" s="140"/>
    </row>
    <row r="86" spans="1:15" ht="46.8">
      <c r="A86" s="256" t="s">
        <v>11</v>
      </c>
      <c r="B86" s="54" t="s">
        <v>136</v>
      </c>
      <c r="C86" s="45">
        <f>10.73*'Category sub-totals'!B31</f>
        <v>40060.455</v>
      </c>
      <c r="D86" s="45"/>
      <c r="E86" s="55"/>
      <c r="F86" s="53" t="s">
        <v>195</v>
      </c>
      <c r="G86" s="46">
        <f>+C86</f>
        <v>40060.455</v>
      </c>
      <c r="H86" s="135"/>
      <c r="I86" s="45"/>
      <c r="J86" s="45"/>
      <c r="K86" s="45"/>
      <c r="L86" s="45"/>
      <c r="M86" s="46" t="str">
        <f t="shared" si="6"/>
        <v>No</v>
      </c>
      <c r="N86" s="59"/>
      <c r="O86" s="141"/>
    </row>
    <row r="87" spans="1:15" ht="15" customHeight="1" hidden="1">
      <c r="A87" s="256"/>
      <c r="B87" s="45"/>
      <c r="C87" s="45"/>
      <c r="D87" s="45"/>
      <c r="E87" s="55">
        <f>'Category sub-totals'!$B$25</f>
        <v>5</v>
      </c>
      <c r="F87" s="53"/>
      <c r="G87" s="46">
        <f t="shared" si="1"/>
        <v>0</v>
      </c>
      <c r="H87" s="135"/>
      <c r="I87" s="45"/>
      <c r="J87" s="45"/>
      <c r="K87" s="45"/>
      <c r="L87" s="45"/>
      <c r="M87" s="46" t="str">
        <f t="shared" si="6"/>
        <v>No</v>
      </c>
      <c r="N87" s="59"/>
      <c r="O87" s="141"/>
    </row>
    <row r="88" spans="1:15" ht="15" customHeight="1" hidden="1">
      <c r="A88" s="256"/>
      <c r="B88" s="45"/>
      <c r="C88" s="45"/>
      <c r="D88" s="45"/>
      <c r="E88" s="55">
        <f>'Category sub-totals'!$B$25</f>
        <v>5</v>
      </c>
      <c r="F88" s="53"/>
      <c r="G88" s="46">
        <f t="shared" si="1"/>
        <v>0</v>
      </c>
      <c r="H88" s="135"/>
      <c r="I88" s="45"/>
      <c r="J88" s="45"/>
      <c r="K88" s="45"/>
      <c r="L88" s="45"/>
      <c r="M88" s="46" t="str">
        <f t="shared" si="6"/>
        <v>No</v>
      </c>
      <c r="N88" s="59"/>
      <c r="O88" s="141"/>
    </row>
    <row r="89" spans="1:15" ht="15" customHeight="1" hidden="1">
      <c r="A89" s="256"/>
      <c r="B89" s="45"/>
      <c r="C89" s="45"/>
      <c r="D89" s="45"/>
      <c r="E89" s="55">
        <f>'Category sub-totals'!$B$25</f>
        <v>5</v>
      </c>
      <c r="F89" s="53"/>
      <c r="G89" s="46">
        <f t="shared" si="1"/>
        <v>0</v>
      </c>
      <c r="H89" s="135"/>
      <c r="I89" s="45"/>
      <c r="J89" s="45"/>
      <c r="K89" s="45"/>
      <c r="L89" s="45"/>
      <c r="M89" s="46" t="str">
        <f t="shared" si="6"/>
        <v>No</v>
      </c>
      <c r="N89" s="59"/>
      <c r="O89" s="141"/>
    </row>
    <row r="90" spans="1:15" ht="15">
      <c r="A90" s="256"/>
      <c r="B90" s="45"/>
      <c r="C90" s="45"/>
      <c r="D90" s="45"/>
      <c r="E90" s="55">
        <f>'Category sub-totals'!$B$25</f>
        <v>5</v>
      </c>
      <c r="F90" s="53"/>
      <c r="G90" s="46">
        <f t="shared" si="1"/>
        <v>0</v>
      </c>
      <c r="H90" s="135"/>
      <c r="I90" s="45"/>
      <c r="J90" s="45"/>
      <c r="K90" s="45"/>
      <c r="L90" s="45"/>
      <c r="M90" s="46" t="str">
        <f t="shared" si="6"/>
        <v>No</v>
      </c>
      <c r="N90" s="59"/>
      <c r="O90" s="141"/>
    </row>
    <row r="91" spans="1:15" ht="16.2" thickBot="1">
      <c r="A91" s="257"/>
      <c r="B91" s="137" t="s">
        <v>20</v>
      </c>
      <c r="C91" s="52"/>
      <c r="D91" s="52"/>
      <c r="E91" s="56"/>
      <c r="F91" s="62"/>
      <c r="G91" s="49">
        <f>SUM(G86:G90)</f>
        <v>40060.455</v>
      </c>
      <c r="H91" s="138">
        <f>+G91/$G$115</f>
        <v>0.12514161944836644</v>
      </c>
      <c r="I91" s="52"/>
      <c r="J91" s="52"/>
      <c r="K91" s="52"/>
      <c r="L91" s="52"/>
      <c r="M91" s="49" t="str">
        <f t="shared" si="6"/>
        <v>No</v>
      </c>
      <c r="N91" s="60"/>
      <c r="O91" s="140"/>
    </row>
    <row r="92" spans="1:15" ht="15">
      <c r="A92" s="256" t="s">
        <v>0</v>
      </c>
      <c r="B92" s="45"/>
      <c r="C92" s="45"/>
      <c r="D92" s="45"/>
      <c r="E92" s="55">
        <f>'Category sub-totals'!$B$25</f>
        <v>5</v>
      </c>
      <c r="F92" s="53"/>
      <c r="G92" s="46">
        <f t="shared" si="1"/>
        <v>0</v>
      </c>
      <c r="H92" s="135"/>
      <c r="I92" s="45"/>
      <c r="J92" s="45"/>
      <c r="K92" s="45"/>
      <c r="L92" s="45"/>
      <c r="M92" s="46" t="str">
        <f t="shared" si="6"/>
        <v>No</v>
      </c>
      <c r="N92" s="59"/>
      <c r="O92" s="141"/>
    </row>
    <row r="93" spans="1:15" ht="15" customHeight="1" hidden="1">
      <c r="A93" s="256"/>
      <c r="B93" s="45"/>
      <c r="C93" s="45"/>
      <c r="D93" s="45"/>
      <c r="E93" s="55">
        <f>'Category sub-totals'!$B$25</f>
        <v>5</v>
      </c>
      <c r="F93" s="53"/>
      <c r="G93" s="46">
        <f t="shared" si="1"/>
        <v>0</v>
      </c>
      <c r="H93" s="135"/>
      <c r="I93" s="45"/>
      <c r="J93" s="45"/>
      <c r="K93" s="45"/>
      <c r="L93" s="45"/>
      <c r="M93" s="46" t="str">
        <f t="shared" si="6"/>
        <v>No</v>
      </c>
      <c r="N93" s="59"/>
      <c r="O93" s="141"/>
    </row>
    <row r="94" spans="1:15" ht="15" customHeight="1" hidden="1">
      <c r="A94" s="256"/>
      <c r="B94" s="45"/>
      <c r="C94" s="45"/>
      <c r="D94" s="45"/>
      <c r="E94" s="55">
        <f>'Category sub-totals'!$B$25</f>
        <v>5</v>
      </c>
      <c r="F94" s="53"/>
      <c r="G94" s="46">
        <f t="shared" si="1"/>
        <v>0</v>
      </c>
      <c r="H94" s="135"/>
      <c r="I94" s="45"/>
      <c r="J94" s="45"/>
      <c r="K94" s="45"/>
      <c r="L94" s="45"/>
      <c r="M94" s="46" t="str">
        <f t="shared" si="6"/>
        <v>No</v>
      </c>
      <c r="N94" s="59"/>
      <c r="O94" s="141"/>
    </row>
    <row r="95" spans="1:15" ht="15" customHeight="1" hidden="1">
      <c r="A95" s="256"/>
      <c r="B95" s="45"/>
      <c r="C95" s="45"/>
      <c r="D95" s="45"/>
      <c r="E95" s="55">
        <f>'Category sub-totals'!$B$25</f>
        <v>5</v>
      </c>
      <c r="F95" s="53"/>
      <c r="G95" s="46">
        <f t="shared" si="1"/>
        <v>0</v>
      </c>
      <c r="H95" s="135"/>
      <c r="I95" s="45"/>
      <c r="J95" s="45"/>
      <c r="K95" s="45"/>
      <c r="L95" s="45"/>
      <c r="M95" s="46" t="str">
        <f t="shared" si="6"/>
        <v>No</v>
      </c>
      <c r="N95" s="59"/>
      <c r="O95" s="141"/>
    </row>
    <row r="96" spans="1:15" ht="15" customHeight="1" hidden="1">
      <c r="A96" s="256"/>
      <c r="B96" s="45"/>
      <c r="C96" s="45"/>
      <c r="D96" s="45"/>
      <c r="E96" s="55">
        <f>'Category sub-totals'!$B$25</f>
        <v>5</v>
      </c>
      <c r="F96" s="53"/>
      <c r="G96" s="46">
        <f t="shared" si="1"/>
        <v>0</v>
      </c>
      <c r="H96" s="135"/>
      <c r="I96" s="45"/>
      <c r="J96" s="45"/>
      <c r="K96" s="45"/>
      <c r="L96" s="45"/>
      <c r="M96" s="46" t="str">
        <f t="shared" si="6"/>
        <v>No</v>
      </c>
      <c r="N96" s="59"/>
      <c r="O96" s="141"/>
    </row>
    <row r="97" spans="1:15" ht="15">
      <c r="A97" s="256"/>
      <c r="B97" s="45"/>
      <c r="C97" s="45"/>
      <c r="D97" s="45"/>
      <c r="E97" s="55">
        <f>'Category sub-totals'!$B$25</f>
        <v>5</v>
      </c>
      <c r="F97" s="53"/>
      <c r="G97" s="46">
        <f aca="true" t="shared" si="7" ref="G97:G113">D97*E97</f>
        <v>0</v>
      </c>
      <c r="H97" s="135"/>
      <c r="I97" s="45"/>
      <c r="J97" s="45"/>
      <c r="K97" s="45"/>
      <c r="L97" s="45"/>
      <c r="M97" s="46" t="str">
        <f t="shared" si="6"/>
        <v>No</v>
      </c>
      <c r="N97" s="59"/>
      <c r="O97" s="141"/>
    </row>
    <row r="98" spans="1:15" ht="16.2" thickBot="1">
      <c r="A98" s="257"/>
      <c r="B98" s="137" t="s">
        <v>20</v>
      </c>
      <c r="C98" s="52"/>
      <c r="D98" s="52"/>
      <c r="E98" s="56"/>
      <c r="F98" s="62"/>
      <c r="G98" s="49">
        <f>SUM(G92:G97)</f>
        <v>0</v>
      </c>
      <c r="H98" s="138">
        <f>0</f>
        <v>0</v>
      </c>
      <c r="I98" s="52"/>
      <c r="J98" s="52"/>
      <c r="K98" s="52"/>
      <c r="L98" s="52"/>
      <c r="M98" s="49" t="str">
        <f t="shared" si="6"/>
        <v>No</v>
      </c>
      <c r="N98" s="60"/>
      <c r="O98" s="140"/>
    </row>
    <row r="99" spans="1:15" ht="15">
      <c r="A99" s="256" t="s">
        <v>46</v>
      </c>
      <c r="B99" s="45"/>
      <c r="C99" s="45"/>
      <c r="D99" s="45"/>
      <c r="E99" s="55">
        <f>'Category sub-totals'!$B$25</f>
        <v>5</v>
      </c>
      <c r="F99" s="45"/>
      <c r="G99" s="46">
        <f t="shared" si="7"/>
        <v>0</v>
      </c>
      <c r="H99" s="135"/>
      <c r="I99" s="45"/>
      <c r="J99" s="45"/>
      <c r="K99" s="45"/>
      <c r="L99" s="45"/>
      <c r="M99" s="46" t="str">
        <f t="shared" si="6"/>
        <v>No</v>
      </c>
      <c r="N99" s="59"/>
      <c r="O99" s="141"/>
    </row>
    <row r="100" spans="1:15" ht="15" hidden="1">
      <c r="A100" s="256"/>
      <c r="B100" s="45"/>
      <c r="C100" s="45"/>
      <c r="D100" s="45"/>
      <c r="E100" s="55">
        <f>'Category sub-totals'!$B$25</f>
        <v>5</v>
      </c>
      <c r="F100" s="45"/>
      <c r="G100" s="46">
        <f t="shared" si="7"/>
        <v>0</v>
      </c>
      <c r="H100" s="135"/>
      <c r="I100" s="45"/>
      <c r="J100" s="45"/>
      <c r="K100" s="45"/>
      <c r="L100" s="45"/>
      <c r="M100" s="46" t="str">
        <f t="shared" si="6"/>
        <v>No</v>
      </c>
      <c r="N100" s="59"/>
      <c r="O100" s="141"/>
    </row>
    <row r="101" spans="1:15" ht="15" hidden="1">
      <c r="A101" s="256"/>
      <c r="B101" s="45"/>
      <c r="C101" s="45"/>
      <c r="D101" s="45"/>
      <c r="E101" s="55">
        <f>'Category sub-totals'!$B$25</f>
        <v>5</v>
      </c>
      <c r="F101" s="45"/>
      <c r="G101" s="46">
        <f t="shared" si="7"/>
        <v>0</v>
      </c>
      <c r="H101" s="135"/>
      <c r="I101" s="45"/>
      <c r="J101" s="45"/>
      <c r="K101" s="45"/>
      <c r="L101" s="45"/>
      <c r="M101" s="46" t="str">
        <f t="shared" si="6"/>
        <v>No</v>
      </c>
      <c r="N101" s="59"/>
      <c r="O101" s="141"/>
    </row>
    <row r="102" spans="1:15" ht="15" hidden="1">
      <c r="A102" s="256"/>
      <c r="B102" s="45"/>
      <c r="C102" s="45"/>
      <c r="D102" s="45"/>
      <c r="E102" s="55">
        <f>'Category sub-totals'!$B$25</f>
        <v>5</v>
      </c>
      <c r="F102" s="45"/>
      <c r="G102" s="46">
        <f t="shared" si="7"/>
        <v>0</v>
      </c>
      <c r="H102" s="135"/>
      <c r="I102" s="45"/>
      <c r="J102" s="45"/>
      <c r="K102" s="45"/>
      <c r="L102" s="45"/>
      <c r="M102" s="46" t="str">
        <f t="shared" si="6"/>
        <v>No</v>
      </c>
      <c r="N102" s="59"/>
      <c r="O102" s="141"/>
    </row>
    <row r="103" spans="1:15" ht="15" hidden="1">
      <c r="A103" s="256"/>
      <c r="B103" s="45"/>
      <c r="C103" s="45"/>
      <c r="D103" s="45"/>
      <c r="E103" s="55">
        <f>'Category sub-totals'!$B$25</f>
        <v>5</v>
      </c>
      <c r="F103" s="45"/>
      <c r="G103" s="46">
        <f t="shared" si="7"/>
        <v>0</v>
      </c>
      <c r="H103" s="135"/>
      <c r="I103" s="45"/>
      <c r="J103" s="45"/>
      <c r="K103" s="45"/>
      <c r="L103" s="45"/>
      <c r="M103" s="46" t="str">
        <f t="shared" si="6"/>
        <v>No</v>
      </c>
      <c r="N103" s="59"/>
      <c r="O103" s="141"/>
    </row>
    <row r="104" spans="1:15" ht="15" hidden="1">
      <c r="A104" s="256"/>
      <c r="B104" s="45"/>
      <c r="C104" s="45"/>
      <c r="D104" s="45"/>
      <c r="E104" s="55">
        <f>'Category sub-totals'!$B$25</f>
        <v>5</v>
      </c>
      <c r="F104" s="45"/>
      <c r="G104" s="46">
        <f t="shared" si="7"/>
        <v>0</v>
      </c>
      <c r="H104" s="135"/>
      <c r="I104" s="45"/>
      <c r="J104" s="45"/>
      <c r="K104" s="45"/>
      <c r="L104" s="45"/>
      <c r="M104" s="46" t="str">
        <f t="shared" si="6"/>
        <v>No</v>
      </c>
      <c r="N104" s="59"/>
      <c r="O104" s="141"/>
    </row>
    <row r="105" spans="1:15" ht="15">
      <c r="A105" s="256"/>
      <c r="B105" s="45"/>
      <c r="C105" s="45"/>
      <c r="D105" s="45"/>
      <c r="E105" s="55">
        <f>'Category sub-totals'!$B$25</f>
        <v>5</v>
      </c>
      <c r="F105" s="45"/>
      <c r="G105" s="46">
        <f t="shared" si="7"/>
        <v>0</v>
      </c>
      <c r="H105" s="135"/>
      <c r="I105" s="45"/>
      <c r="J105" s="45"/>
      <c r="K105" s="45"/>
      <c r="L105" s="45"/>
      <c r="M105" s="46" t="str">
        <f t="shared" si="6"/>
        <v>No</v>
      </c>
      <c r="N105" s="59"/>
      <c r="O105" s="141"/>
    </row>
    <row r="106" spans="1:15" ht="16.2" thickBot="1">
      <c r="A106" s="257"/>
      <c r="B106" s="137" t="s">
        <v>20</v>
      </c>
      <c r="C106" s="52"/>
      <c r="D106" s="52"/>
      <c r="E106" s="52"/>
      <c r="F106" s="52"/>
      <c r="G106" s="49">
        <f>SUM(G99:G105)</f>
        <v>0</v>
      </c>
      <c r="H106" s="138">
        <f>+G106/$G$115</f>
        <v>0</v>
      </c>
      <c r="I106" s="52"/>
      <c r="J106" s="52"/>
      <c r="K106" s="52"/>
      <c r="L106" s="52"/>
      <c r="M106" s="49" t="str">
        <f t="shared" si="6"/>
        <v>No</v>
      </c>
      <c r="N106" s="60"/>
      <c r="O106" s="140"/>
    </row>
    <row r="107" spans="1:15" ht="15">
      <c r="A107" s="256" t="s">
        <v>44</v>
      </c>
      <c r="B107" s="45" t="s">
        <v>102</v>
      </c>
      <c r="C107" s="45"/>
      <c r="D107" s="45"/>
      <c r="E107" s="55">
        <f>'Category sub-totals'!$B$25</f>
        <v>5</v>
      </c>
      <c r="F107" s="45"/>
      <c r="G107" s="46">
        <f t="shared" si="7"/>
        <v>0</v>
      </c>
      <c r="H107" s="135"/>
      <c r="I107" s="45"/>
      <c r="J107" s="45"/>
      <c r="K107" s="50" t="s">
        <v>35</v>
      </c>
      <c r="L107" s="45"/>
      <c r="M107" s="46" t="str">
        <f t="shared" si="6"/>
        <v>No</v>
      </c>
      <c r="N107" s="59"/>
      <c r="O107" s="141"/>
    </row>
    <row r="108" spans="1:15" ht="15" hidden="1">
      <c r="A108" s="256"/>
      <c r="B108" s="45"/>
      <c r="C108" s="45"/>
      <c r="D108" s="45"/>
      <c r="E108" s="55">
        <f>'Category sub-totals'!$B$25</f>
        <v>5</v>
      </c>
      <c r="F108" s="45"/>
      <c r="G108" s="46">
        <f t="shared" si="7"/>
        <v>0</v>
      </c>
      <c r="H108" s="135"/>
      <c r="I108" s="45"/>
      <c r="J108" s="45"/>
      <c r="K108" s="45"/>
      <c r="L108" s="45"/>
      <c r="M108" s="46" t="str">
        <f t="shared" si="6"/>
        <v>No</v>
      </c>
      <c r="N108" s="59"/>
      <c r="O108" s="141"/>
    </row>
    <row r="109" spans="1:15" ht="15">
      <c r="A109" s="256"/>
      <c r="B109" s="45" t="s">
        <v>196</v>
      </c>
      <c r="C109" s="45"/>
      <c r="D109" s="45"/>
      <c r="E109" s="55">
        <f>'Category sub-totals'!$B$25</f>
        <v>5</v>
      </c>
      <c r="F109" s="45"/>
      <c r="G109" s="46">
        <f t="shared" si="7"/>
        <v>0</v>
      </c>
      <c r="H109" s="135"/>
      <c r="I109" s="45"/>
      <c r="J109" s="45"/>
      <c r="K109" s="45"/>
      <c r="L109" s="45"/>
      <c r="M109" s="46" t="str">
        <f t="shared" si="6"/>
        <v>No</v>
      </c>
      <c r="N109" s="59"/>
      <c r="O109" s="141"/>
    </row>
    <row r="110" spans="1:15" ht="16.2" thickBot="1">
      <c r="A110" s="257"/>
      <c r="B110" s="137" t="s">
        <v>20</v>
      </c>
      <c r="C110" s="52"/>
      <c r="D110" s="52"/>
      <c r="E110" s="52"/>
      <c r="F110" s="52"/>
      <c r="G110" s="49">
        <f>SUM(G107:G109)</f>
        <v>0</v>
      </c>
      <c r="H110" s="138">
        <f>+G110/$G$115</f>
        <v>0</v>
      </c>
      <c r="I110" s="52"/>
      <c r="J110" s="52"/>
      <c r="K110" s="52"/>
      <c r="L110" s="52"/>
      <c r="M110" s="49" t="str">
        <f t="shared" si="6"/>
        <v>No</v>
      </c>
      <c r="N110" s="60"/>
      <c r="O110" s="140"/>
    </row>
    <row r="111" spans="1:15" ht="15">
      <c r="A111" s="256" t="s">
        <v>86</v>
      </c>
      <c r="B111" s="45"/>
      <c r="C111" s="45"/>
      <c r="D111" s="45"/>
      <c r="E111" s="55">
        <f>'Category sub-totals'!$B$25</f>
        <v>5</v>
      </c>
      <c r="F111" s="45"/>
      <c r="G111" s="46">
        <f t="shared" si="7"/>
        <v>0</v>
      </c>
      <c r="H111" s="135"/>
      <c r="I111" s="45"/>
      <c r="J111" s="45"/>
      <c r="K111" s="45"/>
      <c r="L111" s="45"/>
      <c r="M111" s="46" t="str">
        <f t="shared" si="6"/>
        <v>No</v>
      </c>
      <c r="N111" s="59"/>
      <c r="O111" s="141"/>
    </row>
    <row r="112" spans="1:15" ht="15" hidden="1">
      <c r="A112" s="256"/>
      <c r="B112" s="45"/>
      <c r="C112" s="45"/>
      <c r="D112" s="45"/>
      <c r="E112" s="55">
        <f>'Category sub-totals'!$B$25</f>
        <v>5</v>
      </c>
      <c r="F112" s="45"/>
      <c r="G112" s="46">
        <f t="shared" si="7"/>
        <v>0</v>
      </c>
      <c r="H112" s="135"/>
      <c r="I112" s="45"/>
      <c r="J112" s="45"/>
      <c r="K112" s="45"/>
      <c r="L112" s="45"/>
      <c r="M112" s="46" t="str">
        <f t="shared" si="6"/>
        <v>No</v>
      </c>
      <c r="N112" s="59"/>
      <c r="O112" s="141"/>
    </row>
    <row r="113" spans="1:15" ht="15">
      <c r="A113" s="256"/>
      <c r="B113" s="45"/>
      <c r="C113" s="45"/>
      <c r="D113" s="45"/>
      <c r="E113" s="55">
        <f>'Category sub-totals'!$B$25</f>
        <v>5</v>
      </c>
      <c r="F113" s="45"/>
      <c r="G113" s="46">
        <f t="shared" si="7"/>
        <v>0</v>
      </c>
      <c r="H113" s="135"/>
      <c r="I113" s="45"/>
      <c r="J113" s="45"/>
      <c r="K113" s="45"/>
      <c r="L113" s="45"/>
      <c r="M113" s="46" t="str">
        <f t="shared" si="6"/>
        <v>No</v>
      </c>
      <c r="N113" s="59"/>
      <c r="O113" s="141"/>
    </row>
    <row r="114" spans="1:15" ht="16.2" thickBot="1">
      <c r="A114" s="257"/>
      <c r="B114" s="137" t="s">
        <v>20</v>
      </c>
      <c r="C114" s="52"/>
      <c r="D114" s="52"/>
      <c r="E114" s="52"/>
      <c r="F114" s="52"/>
      <c r="G114" s="49">
        <f>SUM(G111:G113)</f>
        <v>0</v>
      </c>
      <c r="H114" s="138">
        <f>+G114/$G$115</f>
        <v>0</v>
      </c>
      <c r="I114" s="52"/>
      <c r="J114" s="52"/>
      <c r="K114" s="52"/>
      <c r="L114" s="52"/>
      <c r="M114" s="49" t="str">
        <f t="shared" si="6"/>
        <v>No</v>
      </c>
      <c r="N114" s="60"/>
      <c r="O114" s="140"/>
    </row>
    <row r="115" spans="1:8" ht="15">
      <c r="A115" s="35" t="s">
        <v>80</v>
      </c>
      <c r="G115" s="146">
        <f>SUM(G114,G110,G106,G98,G91,G85,G78,G72,G66,G60,G53,G46,G39,G32,G21)</f>
        <v>320120.9571730769</v>
      </c>
      <c r="H115" s="147">
        <f>SUM(H114,H110,H106,H98,H91,H85,H78,H72,H66,H60,H53,H46,H39,H32,H21)</f>
        <v>1</v>
      </c>
    </row>
  </sheetData>
  <mergeCells count="19">
    <mergeCell ref="A61:A66"/>
    <mergeCell ref="A67:A72"/>
    <mergeCell ref="O4:O20"/>
    <mergeCell ref="F4:F20"/>
    <mergeCell ref="A4:A21"/>
    <mergeCell ref="A22:A32"/>
    <mergeCell ref="A33:A39"/>
    <mergeCell ref="I1:N2"/>
    <mergeCell ref="A1:H2"/>
    <mergeCell ref="A40:A46"/>
    <mergeCell ref="A47:A53"/>
    <mergeCell ref="A54:A60"/>
    <mergeCell ref="A99:A106"/>
    <mergeCell ref="A107:A110"/>
    <mergeCell ref="A111:A114"/>
    <mergeCell ref="A73:A78"/>
    <mergeCell ref="A79:A85"/>
    <mergeCell ref="A86:A91"/>
    <mergeCell ref="A92:A98"/>
  </mergeCells>
  <conditionalFormatting sqref="G4:H4 H5:H20">
    <cfRule type="expression" priority="11" dxfId="12">
      <formula>IF(I4="Yes","Yes","No")</formula>
    </cfRule>
  </conditionalFormatting>
  <conditionalFormatting sqref="I4:K21">
    <cfRule type="containsText" priority="8" dxfId="1" operator="containsText" text="No">
      <formula>NOT(ISERROR(SEARCH("No",I4)))</formula>
    </cfRule>
  </conditionalFormatting>
  <conditionalFormatting sqref="L4:L21">
    <cfRule type="containsText" priority="7" dxfId="1" operator="containsText" text="Yes">
      <formula>NOT(ISERROR(SEARCH("Yes",L4)))</formula>
    </cfRule>
  </conditionalFormatting>
  <conditionalFormatting sqref="I22:L98">
    <cfRule type="containsText" priority="5" dxfId="1" operator="containsText" text="No">
      <formula>NOT(ISERROR(SEARCH("No",I22)))</formula>
    </cfRule>
    <cfRule type="containsText" priority="6" dxfId="1" operator="containsText" text="&quot;&quot;No&quot;&quot;">
      <formula>NOT(ISERROR(SEARCH("""No""",I22)))</formula>
    </cfRule>
  </conditionalFormatting>
  <conditionalFormatting sqref="L4:L114">
    <cfRule type="containsText" priority="1" dxfId="1" operator="containsText" text="Yes">
      <formula>NOT(ISERROR(SEARCH("Yes",L4)))</formula>
    </cfRule>
    <cfRule type="containsText" priority="3" dxfId="0" operator="containsText" text="No">
      <formula>NOT(ISERROR(SEARCH("No",L4)))</formula>
    </cfRule>
    <cfRule type="containsText" priority="4" dxfId="0" operator="containsText" text="Yes">
      <formula>NOT(ISERROR(SEARCH("Yes",L4)))</formula>
    </cfRule>
  </conditionalFormatting>
  <conditionalFormatting sqref="I4:K114">
    <cfRule type="containsText" priority="2" dxfId="0" operator="containsText" text="Yes">
      <formula>NOT(ISERROR(SEARCH("Yes",I4)))</formula>
    </cfRule>
  </conditionalFormatting>
  <dataValidations count="1">
    <dataValidation type="list" showInputMessage="1" showErrorMessage="1" sqref="I4:L114">
      <formula1>"', Yes, No"</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3"/>
  <sheetViews>
    <sheetView tabSelected="1" zoomScale="50" zoomScaleNormal="50" workbookViewId="0" topLeftCell="A1">
      <pane xSplit="1" ySplit="3" topLeftCell="B52" activePane="bottomRight" state="frozen"/>
      <selection pane="topRight" activeCell="B1" sqref="B1"/>
      <selection pane="bottomLeft" activeCell="A4" sqref="A4"/>
      <selection pane="bottomRight" activeCell="C83" sqref="C83"/>
    </sheetView>
  </sheetViews>
  <sheetFormatPr defaultColWidth="9.140625" defaultRowHeight="15"/>
  <cols>
    <col min="1" max="1" width="19.28125" style="64" customWidth="1"/>
    <col min="2" max="2" width="35.7109375" style="113" customWidth="1"/>
    <col min="3" max="3" width="24.7109375" style="64" customWidth="1"/>
    <col min="4" max="4" width="23.421875" style="64" customWidth="1"/>
    <col min="5" max="5" width="22.28125" style="64" customWidth="1"/>
    <col min="6" max="6" width="14.28125" style="64" customWidth="1"/>
    <col min="7" max="7" width="14.8515625" style="64" bestFit="1" customWidth="1"/>
    <col min="8" max="8" width="13.00390625" style="64" customWidth="1"/>
    <col min="9" max="9" width="15.00390625" style="64" customWidth="1"/>
    <col min="10" max="10" width="21.28125" style="64" customWidth="1"/>
    <col min="11" max="11" width="14.8515625" style="64" customWidth="1"/>
    <col min="12" max="12" width="13.28125" style="64" customWidth="1"/>
    <col min="13" max="13" width="44.421875" style="64" customWidth="1"/>
    <col min="14" max="14" width="15.140625" style="64" customWidth="1"/>
    <col min="15" max="16384" width="8.8515625" style="64" customWidth="1"/>
  </cols>
  <sheetData>
    <row r="1" spans="1:13" ht="15">
      <c r="A1" s="274" t="s">
        <v>55</v>
      </c>
      <c r="B1" s="274"/>
      <c r="C1" s="274"/>
      <c r="D1" s="274"/>
      <c r="E1" s="274"/>
      <c r="F1" s="274"/>
      <c r="G1" s="274"/>
      <c r="H1" s="278" t="s">
        <v>203</v>
      </c>
      <c r="I1" s="278"/>
      <c r="J1" s="278"/>
      <c r="K1" s="278"/>
      <c r="L1" s="278"/>
      <c r="M1" s="278"/>
    </row>
    <row r="2" spans="1:13" ht="15">
      <c r="A2" s="274"/>
      <c r="B2" s="274"/>
      <c r="C2" s="274"/>
      <c r="D2" s="274"/>
      <c r="E2" s="274"/>
      <c r="F2" s="274"/>
      <c r="G2" s="274"/>
      <c r="H2" s="278"/>
      <c r="I2" s="278"/>
      <c r="J2" s="278"/>
      <c r="K2" s="278"/>
      <c r="L2" s="278"/>
      <c r="M2" s="278"/>
    </row>
    <row r="3" spans="1:14" ht="42" thickBot="1">
      <c r="A3" s="65" t="s">
        <v>24</v>
      </c>
      <c r="B3" s="66" t="s">
        <v>23</v>
      </c>
      <c r="C3" s="66" t="s">
        <v>128</v>
      </c>
      <c r="D3" s="66" t="s">
        <v>129</v>
      </c>
      <c r="E3" s="67" t="s">
        <v>130</v>
      </c>
      <c r="F3" s="65" t="s">
        <v>25</v>
      </c>
      <c r="G3" s="66" t="s">
        <v>29</v>
      </c>
      <c r="H3" s="66" t="s">
        <v>75</v>
      </c>
      <c r="I3" s="66" t="s">
        <v>26</v>
      </c>
      <c r="J3" s="66" t="s">
        <v>27</v>
      </c>
      <c r="K3" s="66" t="s">
        <v>28</v>
      </c>
      <c r="L3" s="66" t="s">
        <v>77</v>
      </c>
      <c r="M3" s="66" t="s">
        <v>78</v>
      </c>
      <c r="N3" s="66" t="s">
        <v>79</v>
      </c>
    </row>
    <row r="4" spans="1:14" ht="15">
      <c r="A4" s="271" t="s">
        <v>1</v>
      </c>
      <c r="B4" s="68"/>
      <c r="C4" s="69"/>
      <c r="D4" s="70"/>
      <c r="E4" s="70">
        <f>C4*'Category sub-totals'!$B$25</f>
        <v>0</v>
      </c>
      <c r="F4" s="69"/>
      <c r="G4" s="71">
        <f aca="true" t="shared" si="0" ref="G4:G20">D4*E4</f>
        <v>0</v>
      </c>
      <c r="H4" s="72" t="s">
        <v>33</v>
      </c>
      <c r="I4" s="72" t="s">
        <v>33</v>
      </c>
      <c r="J4" s="72" t="s">
        <v>33</v>
      </c>
      <c r="K4" s="72" t="s">
        <v>34</v>
      </c>
      <c r="L4" s="73" t="str">
        <f>IF(AND(H4="Yes",I4="Yes",J4="Yes",K4="No"),"Yes","No")</f>
        <v>Yes</v>
      </c>
      <c r="M4" s="74"/>
      <c r="N4" s="75"/>
    </row>
    <row r="5" spans="1:14" ht="15" customHeight="1" hidden="1">
      <c r="A5" s="272"/>
      <c r="B5" s="68"/>
      <c r="C5" s="69"/>
      <c r="D5" s="70"/>
      <c r="E5" s="70">
        <f>C5*'Category sub-totals'!$B$25</f>
        <v>0</v>
      </c>
      <c r="F5" s="69"/>
      <c r="G5" s="71">
        <f t="shared" si="0"/>
        <v>0</v>
      </c>
      <c r="H5" s="76"/>
      <c r="I5" s="76"/>
      <c r="J5" s="76"/>
      <c r="K5" s="76"/>
      <c r="L5" s="77" t="str">
        <f>IF(AND(H5="Yes",I5="Yes",J5="Yes",K5="No"),"Yes","No")</f>
        <v>No</v>
      </c>
      <c r="M5" s="78"/>
      <c r="N5" s="79"/>
    </row>
    <row r="6" spans="1:14" ht="15" customHeight="1" hidden="1">
      <c r="A6" s="272"/>
      <c r="B6" s="68"/>
      <c r="C6" s="69"/>
      <c r="D6" s="70"/>
      <c r="E6" s="70">
        <f>C6*'Category sub-totals'!$B$25</f>
        <v>0</v>
      </c>
      <c r="F6" s="69"/>
      <c r="G6" s="71">
        <f t="shared" si="0"/>
        <v>0</v>
      </c>
      <c r="H6" s="76"/>
      <c r="I6" s="76"/>
      <c r="J6" s="76"/>
      <c r="K6" s="76"/>
      <c r="L6" s="77" t="str">
        <f aca="true" t="shared" si="1" ref="L6:L60">IF(AND(H6="Yes",I6="Yes",J6="Yes",K6="No"),"Yes","No")</f>
        <v>No</v>
      </c>
      <c r="M6" s="78"/>
      <c r="N6" s="79"/>
    </row>
    <row r="7" spans="1:14" ht="15" customHeight="1" hidden="1">
      <c r="A7" s="272"/>
      <c r="B7" s="68"/>
      <c r="C7" s="69"/>
      <c r="D7" s="70"/>
      <c r="E7" s="70">
        <f>C7*'Category sub-totals'!$B$25</f>
        <v>0</v>
      </c>
      <c r="F7" s="69"/>
      <c r="G7" s="71">
        <f t="shared" si="0"/>
        <v>0</v>
      </c>
      <c r="H7" s="76"/>
      <c r="I7" s="76"/>
      <c r="J7" s="76"/>
      <c r="K7" s="76"/>
      <c r="L7" s="77" t="str">
        <f t="shared" si="1"/>
        <v>No</v>
      </c>
      <c r="M7" s="78"/>
      <c r="N7" s="79"/>
    </row>
    <row r="8" spans="1:14" ht="15" customHeight="1" hidden="1">
      <c r="A8" s="272"/>
      <c r="B8" s="68"/>
      <c r="C8" s="69"/>
      <c r="D8" s="70"/>
      <c r="E8" s="70">
        <f>C8*'Category sub-totals'!$B$25</f>
        <v>0</v>
      </c>
      <c r="F8" s="69"/>
      <c r="G8" s="71">
        <f t="shared" si="0"/>
        <v>0</v>
      </c>
      <c r="H8" s="76"/>
      <c r="I8" s="76"/>
      <c r="J8" s="76"/>
      <c r="K8" s="76"/>
      <c r="L8" s="77" t="str">
        <f t="shared" si="1"/>
        <v>No</v>
      </c>
      <c r="M8" s="78"/>
      <c r="N8" s="79"/>
    </row>
    <row r="9" spans="1:14" ht="15" customHeight="1" hidden="1">
      <c r="A9" s="272"/>
      <c r="B9" s="68"/>
      <c r="C9" s="69"/>
      <c r="D9" s="70"/>
      <c r="E9" s="70">
        <f>C9*'Category sub-totals'!$B$25</f>
        <v>0</v>
      </c>
      <c r="F9" s="69"/>
      <c r="G9" s="71">
        <f t="shared" si="0"/>
        <v>0</v>
      </c>
      <c r="H9" s="76"/>
      <c r="I9" s="76"/>
      <c r="J9" s="76"/>
      <c r="K9" s="76"/>
      <c r="L9" s="77" t="str">
        <f t="shared" si="1"/>
        <v>No</v>
      </c>
      <c r="M9" s="78"/>
      <c r="N9" s="79"/>
    </row>
    <row r="10" spans="1:14" ht="15" customHeight="1" hidden="1">
      <c r="A10" s="272"/>
      <c r="B10" s="68"/>
      <c r="C10" s="69"/>
      <c r="D10" s="70"/>
      <c r="E10" s="70">
        <f>C10*'Category sub-totals'!$B$25</f>
        <v>0</v>
      </c>
      <c r="F10" s="69"/>
      <c r="G10" s="71">
        <f t="shared" si="0"/>
        <v>0</v>
      </c>
      <c r="H10" s="76"/>
      <c r="I10" s="76"/>
      <c r="J10" s="76"/>
      <c r="K10" s="76"/>
      <c r="L10" s="77" t="str">
        <f t="shared" si="1"/>
        <v>No</v>
      </c>
      <c r="M10" s="78"/>
      <c r="N10" s="79"/>
    </row>
    <row r="11" spans="1:14" ht="15" customHeight="1" hidden="1">
      <c r="A11" s="272"/>
      <c r="B11" s="68"/>
      <c r="C11" s="69"/>
      <c r="D11" s="70"/>
      <c r="E11" s="70">
        <f>C11*'Category sub-totals'!$B$25</f>
        <v>0</v>
      </c>
      <c r="F11" s="69"/>
      <c r="G11" s="71">
        <f t="shared" si="0"/>
        <v>0</v>
      </c>
      <c r="H11" s="76"/>
      <c r="I11" s="76"/>
      <c r="J11" s="76"/>
      <c r="K11" s="76"/>
      <c r="L11" s="77" t="str">
        <f t="shared" si="1"/>
        <v>No</v>
      </c>
      <c r="M11" s="78"/>
      <c r="N11" s="79"/>
    </row>
    <row r="12" spans="1:14" ht="15" customHeight="1" hidden="1">
      <c r="A12" s="272"/>
      <c r="B12" s="68"/>
      <c r="C12" s="69"/>
      <c r="D12" s="70"/>
      <c r="E12" s="70">
        <f>C12*'Category sub-totals'!$B$25</f>
        <v>0</v>
      </c>
      <c r="F12" s="69"/>
      <c r="G12" s="71">
        <f t="shared" si="0"/>
        <v>0</v>
      </c>
      <c r="H12" s="76"/>
      <c r="I12" s="76"/>
      <c r="J12" s="76"/>
      <c r="K12" s="76"/>
      <c r="L12" s="77" t="str">
        <f t="shared" si="1"/>
        <v>No</v>
      </c>
      <c r="M12" s="78"/>
      <c r="N12" s="79"/>
    </row>
    <row r="13" spans="1:14" ht="15" customHeight="1" hidden="1">
      <c r="A13" s="272"/>
      <c r="B13" s="68"/>
      <c r="C13" s="69"/>
      <c r="D13" s="70"/>
      <c r="E13" s="70">
        <f>C13*'Category sub-totals'!$B$25</f>
        <v>0</v>
      </c>
      <c r="F13" s="69"/>
      <c r="G13" s="71">
        <f t="shared" si="0"/>
        <v>0</v>
      </c>
      <c r="H13" s="76"/>
      <c r="I13" s="76"/>
      <c r="J13" s="76"/>
      <c r="K13" s="76"/>
      <c r="L13" s="77" t="str">
        <f t="shared" si="1"/>
        <v>No</v>
      </c>
      <c r="M13" s="78"/>
      <c r="N13" s="79"/>
    </row>
    <row r="14" spans="1:14" ht="15" customHeight="1" hidden="1">
      <c r="A14" s="272"/>
      <c r="B14" s="68"/>
      <c r="C14" s="69"/>
      <c r="D14" s="70"/>
      <c r="E14" s="70">
        <f>C14*'Category sub-totals'!$B$25</f>
        <v>0</v>
      </c>
      <c r="F14" s="69"/>
      <c r="G14" s="71">
        <f t="shared" si="0"/>
        <v>0</v>
      </c>
      <c r="H14" s="76"/>
      <c r="I14" s="76"/>
      <c r="J14" s="76"/>
      <c r="K14" s="76"/>
      <c r="L14" s="77" t="str">
        <f t="shared" si="1"/>
        <v>No</v>
      </c>
      <c r="M14" s="78"/>
      <c r="N14" s="79"/>
    </row>
    <row r="15" spans="1:14" ht="15" customHeight="1" hidden="1">
      <c r="A15" s="272"/>
      <c r="B15" s="68"/>
      <c r="C15" s="69"/>
      <c r="D15" s="70"/>
      <c r="E15" s="70">
        <f>C15*'Category sub-totals'!$B$25</f>
        <v>0</v>
      </c>
      <c r="F15" s="69"/>
      <c r="G15" s="71">
        <f t="shared" si="0"/>
        <v>0</v>
      </c>
      <c r="H15" s="76"/>
      <c r="I15" s="76"/>
      <c r="J15" s="76"/>
      <c r="K15" s="76"/>
      <c r="L15" s="77" t="str">
        <f t="shared" si="1"/>
        <v>No</v>
      </c>
      <c r="M15" s="78"/>
      <c r="N15" s="79"/>
    </row>
    <row r="16" spans="1:14" ht="15" customHeight="1" hidden="1">
      <c r="A16" s="272"/>
      <c r="B16" s="68"/>
      <c r="C16" s="69"/>
      <c r="D16" s="70"/>
      <c r="E16" s="70">
        <f>C16*'Category sub-totals'!$B$25</f>
        <v>0</v>
      </c>
      <c r="F16" s="69"/>
      <c r="G16" s="71">
        <f t="shared" si="0"/>
        <v>0</v>
      </c>
      <c r="H16" s="76"/>
      <c r="I16" s="76"/>
      <c r="J16" s="76"/>
      <c r="K16" s="76"/>
      <c r="L16" s="77" t="str">
        <f t="shared" si="1"/>
        <v>No</v>
      </c>
      <c r="M16" s="78"/>
      <c r="N16" s="79"/>
    </row>
    <row r="17" spans="1:14" ht="15" customHeight="1" hidden="1">
      <c r="A17" s="272"/>
      <c r="B17" s="68"/>
      <c r="C17" s="69"/>
      <c r="D17" s="70"/>
      <c r="E17" s="70">
        <f>C17*'Category sub-totals'!$B$25</f>
        <v>0</v>
      </c>
      <c r="F17" s="69"/>
      <c r="G17" s="71">
        <f t="shared" si="0"/>
        <v>0</v>
      </c>
      <c r="H17" s="76"/>
      <c r="I17" s="76"/>
      <c r="J17" s="76"/>
      <c r="K17" s="76"/>
      <c r="L17" s="77" t="str">
        <f t="shared" si="1"/>
        <v>No</v>
      </c>
      <c r="M17" s="78"/>
      <c r="N17" s="79"/>
    </row>
    <row r="18" spans="1:14" ht="15" customHeight="1" hidden="1">
      <c r="A18" s="272"/>
      <c r="B18" s="68"/>
      <c r="C18" s="69"/>
      <c r="D18" s="70"/>
      <c r="E18" s="70">
        <f>C18*'Category sub-totals'!$B$25</f>
        <v>0</v>
      </c>
      <c r="F18" s="69"/>
      <c r="G18" s="71">
        <f t="shared" si="0"/>
        <v>0</v>
      </c>
      <c r="H18" s="76"/>
      <c r="I18" s="76"/>
      <c r="J18" s="76"/>
      <c r="K18" s="76"/>
      <c r="L18" s="77" t="str">
        <f t="shared" si="1"/>
        <v>No</v>
      </c>
      <c r="M18" s="78"/>
      <c r="N18" s="79"/>
    </row>
    <row r="19" spans="1:14" ht="15" customHeight="1" hidden="1">
      <c r="A19" s="272"/>
      <c r="B19" s="68"/>
      <c r="C19" s="69"/>
      <c r="D19" s="70"/>
      <c r="E19" s="70">
        <f>C19*'Category sub-totals'!$B$25</f>
        <v>0</v>
      </c>
      <c r="F19" s="69"/>
      <c r="G19" s="71">
        <f t="shared" si="0"/>
        <v>0</v>
      </c>
      <c r="H19" s="76"/>
      <c r="I19" s="76"/>
      <c r="J19" s="76"/>
      <c r="K19" s="76"/>
      <c r="L19" s="77" t="str">
        <f t="shared" si="1"/>
        <v>No</v>
      </c>
      <c r="M19" s="78"/>
      <c r="N19" s="79"/>
    </row>
    <row r="20" spans="1:14" ht="15">
      <c r="A20" s="272"/>
      <c r="B20" s="68"/>
      <c r="C20" s="69"/>
      <c r="D20" s="70"/>
      <c r="E20" s="70">
        <f>C20*'Category sub-totals'!$B$25</f>
        <v>0</v>
      </c>
      <c r="F20" s="69"/>
      <c r="G20" s="71">
        <f t="shared" si="0"/>
        <v>0</v>
      </c>
      <c r="H20" s="76"/>
      <c r="I20" s="76" t="s">
        <v>34</v>
      </c>
      <c r="J20" s="76" t="s">
        <v>34</v>
      </c>
      <c r="K20" s="76" t="s">
        <v>33</v>
      </c>
      <c r="L20" s="77" t="str">
        <f t="shared" si="1"/>
        <v>No</v>
      </c>
      <c r="M20" s="78"/>
      <c r="N20" s="79"/>
    </row>
    <row r="21" spans="1:14" ht="14.4" thickBot="1">
      <c r="A21" s="273"/>
      <c r="B21" s="80" t="s">
        <v>80</v>
      </c>
      <c r="C21" s="81"/>
      <c r="D21" s="82"/>
      <c r="E21" s="82"/>
      <c r="F21" s="81"/>
      <c r="G21" s="83">
        <f>SUM(G4:G20)</f>
        <v>0</v>
      </c>
      <c r="H21" s="84" t="s">
        <v>35</v>
      </c>
      <c r="I21" s="84" t="s">
        <v>35</v>
      </c>
      <c r="J21" s="84" t="s">
        <v>35</v>
      </c>
      <c r="K21" s="84" t="s">
        <v>35</v>
      </c>
      <c r="L21" s="85" t="str">
        <f t="shared" si="1"/>
        <v>No</v>
      </c>
      <c r="M21" s="86"/>
      <c r="N21" s="87"/>
    </row>
    <row r="22" spans="1:14" ht="15">
      <c r="A22" s="271" t="s">
        <v>112</v>
      </c>
      <c r="B22" s="88" t="s">
        <v>103</v>
      </c>
      <c r="C22" s="89">
        <v>8</v>
      </c>
      <c r="D22" s="208">
        <v>7000</v>
      </c>
      <c r="E22" s="209">
        <f>+C22*D22</f>
        <v>56000</v>
      </c>
      <c r="F22" s="69"/>
      <c r="G22" s="71">
        <f>+E22</f>
        <v>56000</v>
      </c>
      <c r="H22" s="76"/>
      <c r="I22" s="76"/>
      <c r="J22" s="76"/>
      <c r="K22" s="90" t="s">
        <v>35</v>
      </c>
      <c r="L22" s="77" t="str">
        <f t="shared" si="1"/>
        <v>No</v>
      </c>
      <c r="M22" s="78"/>
      <c r="N22" s="79"/>
    </row>
    <row r="23" spans="1:14" ht="15">
      <c r="A23" s="272"/>
      <c r="B23" s="88" t="s">
        <v>199</v>
      </c>
      <c r="C23" s="89">
        <v>6</v>
      </c>
      <c r="D23" s="208">
        <v>2641</v>
      </c>
      <c r="E23" s="209">
        <f aca="true" t="shared" si="2" ref="E23:E26">+C23*D23</f>
        <v>15846</v>
      </c>
      <c r="F23" s="69" t="s">
        <v>198</v>
      </c>
      <c r="G23" s="71"/>
      <c r="H23" s="76"/>
      <c r="I23" s="76"/>
      <c r="J23" s="76"/>
      <c r="K23" s="76"/>
      <c r="L23" s="77" t="str">
        <f t="shared" si="1"/>
        <v>No</v>
      </c>
      <c r="M23" s="78"/>
      <c r="N23" s="79"/>
    </row>
    <row r="24" spans="1:14" ht="15">
      <c r="A24" s="272"/>
      <c r="B24" s="88" t="s">
        <v>110</v>
      </c>
      <c r="C24" s="89">
        <v>2</v>
      </c>
      <c r="D24" s="208">
        <v>6859</v>
      </c>
      <c r="E24" s="209">
        <f t="shared" si="2"/>
        <v>13718</v>
      </c>
      <c r="F24" s="69"/>
      <c r="G24" s="71">
        <f aca="true" t="shared" si="3" ref="G24:G26">+E24</f>
        <v>13718</v>
      </c>
      <c r="H24" s="76"/>
      <c r="I24" s="76"/>
      <c r="J24" s="76"/>
      <c r="K24" s="76"/>
      <c r="L24" s="77" t="str">
        <f t="shared" si="1"/>
        <v>No</v>
      </c>
      <c r="M24" s="78"/>
      <c r="N24" s="79"/>
    </row>
    <row r="25" spans="1:14" ht="15">
      <c r="A25" s="272"/>
      <c r="B25" s="88" t="s">
        <v>111</v>
      </c>
      <c r="C25" s="89">
        <v>1</v>
      </c>
      <c r="D25" s="208">
        <v>7581</v>
      </c>
      <c r="E25" s="209">
        <f t="shared" si="2"/>
        <v>7581</v>
      </c>
      <c r="F25" s="69"/>
      <c r="G25" s="71">
        <f t="shared" si="3"/>
        <v>7581</v>
      </c>
      <c r="H25" s="76"/>
      <c r="I25" s="76" t="s">
        <v>33</v>
      </c>
      <c r="J25" s="76"/>
      <c r="K25" s="76"/>
      <c r="L25" s="77" t="str">
        <f t="shared" si="1"/>
        <v>No</v>
      </c>
      <c r="M25" s="78"/>
      <c r="N25" s="79"/>
    </row>
    <row r="26" spans="1:14" ht="15">
      <c r="A26" s="272"/>
      <c r="B26" s="88" t="s">
        <v>104</v>
      </c>
      <c r="C26" s="89">
        <v>1</v>
      </c>
      <c r="D26" s="208">
        <v>3462</v>
      </c>
      <c r="E26" s="209">
        <f t="shared" si="2"/>
        <v>3462</v>
      </c>
      <c r="F26" s="69"/>
      <c r="G26" s="71">
        <f t="shared" si="3"/>
        <v>3462</v>
      </c>
      <c r="H26" s="76"/>
      <c r="I26" s="76"/>
      <c r="J26" s="76"/>
      <c r="K26" s="76"/>
      <c r="L26" s="77" t="str">
        <f t="shared" si="1"/>
        <v>No</v>
      </c>
      <c r="M26" s="78"/>
      <c r="N26" s="79"/>
    </row>
    <row r="27" spans="1:14" ht="15">
      <c r="A27" s="272"/>
      <c r="B27" s="68"/>
      <c r="C27" s="91"/>
      <c r="D27" s="70"/>
      <c r="E27" s="70"/>
      <c r="F27" s="69"/>
      <c r="G27" s="71">
        <f>D27*E27</f>
        <v>0</v>
      </c>
      <c r="H27" s="76"/>
      <c r="I27" s="76"/>
      <c r="J27" s="76"/>
      <c r="K27" s="76"/>
      <c r="L27" s="77" t="str">
        <f t="shared" si="1"/>
        <v>No</v>
      </c>
      <c r="M27" s="78"/>
      <c r="N27" s="79"/>
    </row>
    <row r="28" spans="1:14" ht="15">
      <c r="A28" s="272"/>
      <c r="B28" s="68"/>
      <c r="C28" s="91"/>
      <c r="D28" s="70"/>
      <c r="E28" s="70"/>
      <c r="F28" s="69"/>
      <c r="G28" s="71">
        <f>D28*E28</f>
        <v>0</v>
      </c>
      <c r="H28" s="76"/>
      <c r="I28" s="76"/>
      <c r="J28" s="76" t="s">
        <v>33</v>
      </c>
      <c r="K28" s="76"/>
      <c r="L28" s="77" t="str">
        <f t="shared" si="1"/>
        <v>No</v>
      </c>
      <c r="M28" s="78"/>
      <c r="N28" s="79"/>
    </row>
    <row r="29" spans="1:14" ht="15">
      <c r="A29" s="272"/>
      <c r="B29" s="68"/>
      <c r="C29" s="91"/>
      <c r="D29" s="70"/>
      <c r="E29" s="70"/>
      <c r="F29" s="69"/>
      <c r="G29" s="71">
        <f aca="true" t="shared" si="4" ref="G29:G90">D29*E29</f>
        <v>0</v>
      </c>
      <c r="H29" s="76"/>
      <c r="I29" s="76"/>
      <c r="J29" s="76"/>
      <c r="K29" s="76"/>
      <c r="L29" s="77" t="str">
        <f t="shared" si="1"/>
        <v>No</v>
      </c>
      <c r="M29" s="78"/>
      <c r="N29" s="79"/>
    </row>
    <row r="30" spans="1:14" ht="15" customHeight="1" hidden="1">
      <c r="A30" s="272"/>
      <c r="B30" s="68"/>
      <c r="C30" s="69"/>
      <c r="D30" s="70"/>
      <c r="E30" s="70"/>
      <c r="F30" s="69"/>
      <c r="G30" s="71">
        <f t="shared" si="4"/>
        <v>0</v>
      </c>
      <c r="H30" s="76"/>
      <c r="I30" s="76"/>
      <c r="J30" s="76"/>
      <c r="K30" s="76"/>
      <c r="L30" s="77" t="str">
        <f t="shared" si="1"/>
        <v>No</v>
      </c>
      <c r="M30" s="78"/>
      <c r="N30" s="79"/>
    </row>
    <row r="31" spans="1:14" ht="15" customHeight="1" hidden="1">
      <c r="A31" s="272"/>
      <c r="B31" s="68"/>
      <c r="C31" s="69"/>
      <c r="D31" s="70"/>
      <c r="E31" s="70"/>
      <c r="F31" s="69"/>
      <c r="G31" s="71">
        <f t="shared" si="4"/>
        <v>0</v>
      </c>
      <c r="H31" s="76"/>
      <c r="I31" s="76"/>
      <c r="J31" s="76"/>
      <c r="K31" s="76"/>
      <c r="L31" s="77" t="str">
        <f t="shared" si="1"/>
        <v>No</v>
      </c>
      <c r="M31" s="78"/>
      <c r="N31" s="79"/>
    </row>
    <row r="32" spans="1:14" ht="15" customHeight="1" hidden="1">
      <c r="A32" s="272"/>
      <c r="B32" s="68"/>
      <c r="C32" s="69"/>
      <c r="D32" s="70"/>
      <c r="E32" s="70"/>
      <c r="F32" s="69"/>
      <c r="G32" s="71">
        <f t="shared" si="4"/>
        <v>0</v>
      </c>
      <c r="H32" s="76"/>
      <c r="I32" s="76"/>
      <c r="J32" s="76"/>
      <c r="K32" s="76"/>
      <c r="L32" s="77" t="str">
        <f t="shared" si="1"/>
        <v>No</v>
      </c>
      <c r="M32" s="78"/>
      <c r="N32" s="79"/>
    </row>
    <row r="33" spans="1:14" ht="15" customHeight="1" hidden="1">
      <c r="A33" s="272"/>
      <c r="B33" s="68"/>
      <c r="C33" s="69"/>
      <c r="D33" s="70"/>
      <c r="E33" s="70"/>
      <c r="F33" s="69"/>
      <c r="G33" s="71">
        <f t="shared" si="4"/>
        <v>0</v>
      </c>
      <c r="H33" s="76"/>
      <c r="I33" s="76"/>
      <c r="J33" s="76"/>
      <c r="K33" s="76"/>
      <c r="L33" s="77" t="str">
        <f t="shared" si="1"/>
        <v>No</v>
      </c>
      <c r="M33" s="78"/>
      <c r="N33" s="79"/>
    </row>
    <row r="34" spans="1:14" ht="15" customHeight="1" hidden="1">
      <c r="A34" s="272"/>
      <c r="B34" s="68"/>
      <c r="C34" s="69"/>
      <c r="D34" s="70"/>
      <c r="E34" s="70"/>
      <c r="F34" s="69"/>
      <c r="G34" s="71">
        <f t="shared" si="4"/>
        <v>0</v>
      </c>
      <c r="H34" s="76"/>
      <c r="I34" s="76"/>
      <c r="J34" s="76"/>
      <c r="K34" s="76"/>
      <c r="L34" s="77" t="str">
        <f t="shared" si="1"/>
        <v>No</v>
      </c>
      <c r="M34" s="78"/>
      <c r="N34" s="79"/>
    </row>
    <row r="35" spans="1:14" ht="15">
      <c r="A35" s="272"/>
      <c r="B35" s="68"/>
      <c r="C35" s="69"/>
      <c r="D35" s="70"/>
      <c r="E35" s="70"/>
      <c r="F35" s="69"/>
      <c r="G35" s="71">
        <f t="shared" si="4"/>
        <v>0</v>
      </c>
      <c r="H35" s="76"/>
      <c r="I35" s="76"/>
      <c r="J35" s="76"/>
      <c r="K35" s="76"/>
      <c r="L35" s="77" t="str">
        <f t="shared" si="1"/>
        <v>No</v>
      </c>
      <c r="M35" s="78"/>
      <c r="N35" s="79"/>
    </row>
    <row r="36" spans="1:14" ht="14.4" thickBot="1">
      <c r="A36" s="273"/>
      <c r="B36" s="80" t="s">
        <v>80</v>
      </c>
      <c r="C36" s="81"/>
      <c r="D36" s="82"/>
      <c r="E36" s="82"/>
      <c r="F36" s="81"/>
      <c r="G36" s="83">
        <f>SUM(G22:G35)</f>
        <v>80761</v>
      </c>
      <c r="H36" s="92"/>
      <c r="I36" s="92"/>
      <c r="J36" s="92"/>
      <c r="K36" s="92"/>
      <c r="L36" s="85" t="str">
        <f t="shared" si="1"/>
        <v>No</v>
      </c>
      <c r="M36" s="86"/>
      <c r="N36" s="87"/>
    </row>
    <row r="37" spans="1:14" ht="15">
      <c r="A37" s="271" t="s">
        <v>4</v>
      </c>
      <c r="B37" s="93"/>
      <c r="C37" s="94"/>
      <c r="D37" s="95"/>
      <c r="E37" s="96">
        <f>'Category sub-totals'!$B$25</f>
        <v>5</v>
      </c>
      <c r="F37" s="76"/>
      <c r="G37" s="77">
        <f t="shared" si="4"/>
        <v>0</v>
      </c>
      <c r="H37" s="76"/>
      <c r="I37" s="76"/>
      <c r="J37" s="76"/>
      <c r="K37" s="76"/>
      <c r="L37" s="77" t="str">
        <f t="shared" si="1"/>
        <v>No</v>
      </c>
      <c r="M37" s="78"/>
      <c r="N37" s="79"/>
    </row>
    <row r="38" spans="1:14" ht="15" customHeight="1" hidden="1">
      <c r="A38" s="272"/>
      <c r="B38" s="93"/>
      <c r="C38" s="76"/>
      <c r="D38" s="95"/>
      <c r="E38" s="95">
        <f>'Category sub-totals'!$B$25</f>
        <v>5</v>
      </c>
      <c r="F38" s="76"/>
      <c r="G38" s="77">
        <f t="shared" si="4"/>
        <v>0</v>
      </c>
      <c r="H38" s="76"/>
      <c r="I38" s="76"/>
      <c r="J38" s="76"/>
      <c r="K38" s="76"/>
      <c r="L38" s="77" t="str">
        <f t="shared" si="1"/>
        <v>No</v>
      </c>
      <c r="M38" s="78"/>
      <c r="N38" s="79"/>
    </row>
    <row r="39" spans="1:14" ht="15" customHeight="1" hidden="1">
      <c r="A39" s="272"/>
      <c r="B39" s="93"/>
      <c r="C39" s="76"/>
      <c r="D39" s="95"/>
      <c r="E39" s="95">
        <f>'Category sub-totals'!$B$25</f>
        <v>5</v>
      </c>
      <c r="F39" s="76"/>
      <c r="G39" s="77">
        <f t="shared" si="4"/>
        <v>0</v>
      </c>
      <c r="H39" s="76"/>
      <c r="I39" s="76"/>
      <c r="J39" s="76"/>
      <c r="K39" s="76"/>
      <c r="L39" s="77" t="str">
        <f t="shared" si="1"/>
        <v>No</v>
      </c>
      <c r="M39" s="78"/>
      <c r="N39" s="79"/>
    </row>
    <row r="40" spans="1:14" ht="15" customHeight="1" hidden="1">
      <c r="A40" s="272"/>
      <c r="B40" s="93"/>
      <c r="C40" s="76"/>
      <c r="D40" s="95"/>
      <c r="E40" s="95">
        <f>'Category sub-totals'!$B$25</f>
        <v>5</v>
      </c>
      <c r="F40" s="76"/>
      <c r="G40" s="77">
        <f t="shared" si="4"/>
        <v>0</v>
      </c>
      <c r="H40" s="76"/>
      <c r="I40" s="76"/>
      <c r="J40" s="76"/>
      <c r="K40" s="76"/>
      <c r="L40" s="77" t="str">
        <f t="shared" si="1"/>
        <v>No</v>
      </c>
      <c r="M40" s="78"/>
      <c r="N40" s="79"/>
    </row>
    <row r="41" spans="1:14" ht="15" customHeight="1" hidden="1">
      <c r="A41" s="272"/>
      <c r="B41" s="93"/>
      <c r="C41" s="76"/>
      <c r="D41" s="95"/>
      <c r="E41" s="95">
        <f>'Category sub-totals'!$B$25</f>
        <v>5</v>
      </c>
      <c r="F41" s="76"/>
      <c r="G41" s="77">
        <f t="shared" si="4"/>
        <v>0</v>
      </c>
      <c r="H41" s="76"/>
      <c r="I41" s="76"/>
      <c r="J41" s="76"/>
      <c r="K41" s="76"/>
      <c r="L41" s="77" t="str">
        <f t="shared" si="1"/>
        <v>No</v>
      </c>
      <c r="M41" s="78"/>
      <c r="N41" s="79"/>
    </row>
    <row r="42" spans="1:14" ht="15">
      <c r="A42" s="272"/>
      <c r="B42" s="93"/>
      <c r="C42" s="76"/>
      <c r="D42" s="95"/>
      <c r="E42" s="95">
        <f>'Category sub-totals'!$B$25</f>
        <v>5</v>
      </c>
      <c r="F42" s="76"/>
      <c r="G42" s="77">
        <f t="shared" si="4"/>
        <v>0</v>
      </c>
      <c r="H42" s="76"/>
      <c r="I42" s="76"/>
      <c r="J42" s="76"/>
      <c r="K42" s="76"/>
      <c r="L42" s="77" t="str">
        <f t="shared" si="1"/>
        <v>No</v>
      </c>
      <c r="M42" s="78"/>
      <c r="N42" s="79"/>
    </row>
    <row r="43" spans="1:14" ht="14.4" thickBot="1">
      <c r="A43" s="273"/>
      <c r="B43" s="97" t="s">
        <v>80</v>
      </c>
      <c r="C43" s="92"/>
      <c r="D43" s="98"/>
      <c r="E43" s="98"/>
      <c r="F43" s="92"/>
      <c r="G43" s="85">
        <f>SUM(G37:G42)</f>
        <v>0</v>
      </c>
      <c r="H43" s="92"/>
      <c r="I43" s="92"/>
      <c r="J43" s="92"/>
      <c r="K43" s="92"/>
      <c r="L43" s="99" t="str">
        <f t="shared" si="1"/>
        <v>No</v>
      </c>
      <c r="M43" s="86"/>
      <c r="N43" s="87"/>
    </row>
    <row r="44" spans="1:14" ht="15">
      <c r="A44" s="271" t="s">
        <v>5</v>
      </c>
      <c r="B44" s="100"/>
      <c r="C44" s="72"/>
      <c r="D44" s="101"/>
      <c r="E44" s="101">
        <f>'Category sub-totals'!$B$25</f>
        <v>5</v>
      </c>
      <c r="F44" s="72"/>
      <c r="G44" s="73">
        <f t="shared" si="4"/>
        <v>0</v>
      </c>
      <c r="H44" s="72"/>
      <c r="I44" s="72"/>
      <c r="J44" s="72"/>
      <c r="K44" s="72"/>
      <c r="L44" s="77" t="str">
        <f t="shared" si="1"/>
        <v>No</v>
      </c>
      <c r="M44" s="74"/>
      <c r="N44" s="75"/>
    </row>
    <row r="45" spans="1:14" ht="15" customHeight="1" hidden="1">
      <c r="A45" s="272"/>
      <c r="B45" s="93"/>
      <c r="C45" s="76"/>
      <c r="D45" s="95"/>
      <c r="E45" s="95">
        <f>'Category sub-totals'!$B$25</f>
        <v>5</v>
      </c>
      <c r="F45" s="76"/>
      <c r="G45" s="77">
        <f t="shared" si="4"/>
        <v>0</v>
      </c>
      <c r="H45" s="76"/>
      <c r="I45" s="76"/>
      <c r="J45" s="76"/>
      <c r="K45" s="76"/>
      <c r="L45" s="77" t="str">
        <f t="shared" si="1"/>
        <v>No</v>
      </c>
      <c r="M45" s="78"/>
      <c r="N45" s="79"/>
    </row>
    <row r="46" spans="1:14" ht="15" customHeight="1" hidden="1">
      <c r="A46" s="272"/>
      <c r="B46" s="93"/>
      <c r="C46" s="76"/>
      <c r="D46" s="95"/>
      <c r="E46" s="95">
        <f>'Category sub-totals'!$B$25</f>
        <v>5</v>
      </c>
      <c r="F46" s="76"/>
      <c r="G46" s="77">
        <f t="shared" si="4"/>
        <v>0</v>
      </c>
      <c r="H46" s="76"/>
      <c r="I46" s="76"/>
      <c r="J46" s="76"/>
      <c r="K46" s="76"/>
      <c r="L46" s="77" t="str">
        <f t="shared" si="1"/>
        <v>No</v>
      </c>
      <c r="M46" s="78"/>
      <c r="N46" s="79"/>
    </row>
    <row r="47" spans="1:14" ht="15" customHeight="1" hidden="1">
      <c r="A47" s="272"/>
      <c r="B47" s="93"/>
      <c r="C47" s="76"/>
      <c r="D47" s="95"/>
      <c r="E47" s="95">
        <f>'Category sub-totals'!$B$25</f>
        <v>5</v>
      </c>
      <c r="F47" s="76"/>
      <c r="G47" s="77">
        <f t="shared" si="4"/>
        <v>0</v>
      </c>
      <c r="H47" s="76"/>
      <c r="I47" s="76"/>
      <c r="J47" s="76"/>
      <c r="K47" s="76"/>
      <c r="L47" s="77" t="str">
        <f t="shared" si="1"/>
        <v>No</v>
      </c>
      <c r="M47" s="78"/>
      <c r="N47" s="79"/>
    </row>
    <row r="48" spans="1:14" ht="15" customHeight="1" hidden="1">
      <c r="A48" s="272"/>
      <c r="B48" s="93"/>
      <c r="C48" s="76"/>
      <c r="D48" s="95"/>
      <c r="E48" s="95">
        <f>'Category sub-totals'!$B$25</f>
        <v>5</v>
      </c>
      <c r="F48" s="76"/>
      <c r="G48" s="77">
        <f t="shared" si="4"/>
        <v>0</v>
      </c>
      <c r="H48" s="76"/>
      <c r="I48" s="76"/>
      <c r="J48" s="76"/>
      <c r="K48" s="76"/>
      <c r="L48" s="77" t="str">
        <f t="shared" si="1"/>
        <v>No</v>
      </c>
      <c r="M48" s="78"/>
      <c r="N48" s="79"/>
    </row>
    <row r="49" spans="1:14" ht="15">
      <c r="A49" s="272"/>
      <c r="B49" s="93"/>
      <c r="C49" s="76"/>
      <c r="D49" s="95"/>
      <c r="E49" s="95">
        <f>'Category sub-totals'!$B$25</f>
        <v>5</v>
      </c>
      <c r="F49" s="102"/>
      <c r="G49" s="77">
        <f t="shared" si="4"/>
        <v>0</v>
      </c>
      <c r="H49" s="76"/>
      <c r="I49" s="76"/>
      <c r="J49" s="76"/>
      <c r="K49" s="76"/>
      <c r="L49" s="77" t="str">
        <f t="shared" si="1"/>
        <v>No</v>
      </c>
      <c r="M49" s="78"/>
      <c r="N49" s="79"/>
    </row>
    <row r="50" spans="1:14" ht="14.4" thickBot="1">
      <c r="A50" s="273"/>
      <c r="B50" s="97" t="s">
        <v>80</v>
      </c>
      <c r="C50" s="92"/>
      <c r="D50" s="98"/>
      <c r="E50" s="98"/>
      <c r="F50" s="103"/>
      <c r="G50" s="85">
        <f>SUM(G44:G49)</f>
        <v>0</v>
      </c>
      <c r="H50" s="92"/>
      <c r="I50" s="92"/>
      <c r="J50" s="92"/>
      <c r="K50" s="92"/>
      <c r="L50" s="85" t="str">
        <f t="shared" si="1"/>
        <v>No</v>
      </c>
      <c r="M50" s="86"/>
      <c r="N50" s="87"/>
    </row>
    <row r="51" spans="1:14" ht="15">
      <c r="A51" s="275" t="s">
        <v>81</v>
      </c>
      <c r="B51" s="100" t="s">
        <v>48</v>
      </c>
      <c r="C51" s="72"/>
      <c r="D51" s="101"/>
      <c r="E51" s="101">
        <f>'Category sub-totals'!$B$25</f>
        <v>5</v>
      </c>
      <c r="F51" s="104"/>
      <c r="G51" s="73">
        <f t="shared" si="4"/>
        <v>0</v>
      </c>
      <c r="H51" s="72"/>
      <c r="I51" s="72"/>
      <c r="J51" s="72"/>
      <c r="K51" s="72"/>
      <c r="L51" s="73" t="str">
        <f t="shared" si="1"/>
        <v>No</v>
      </c>
      <c r="M51" s="74"/>
      <c r="N51" s="75"/>
    </row>
    <row r="52" spans="1:14" ht="15">
      <c r="A52" s="276"/>
      <c r="B52" s="93" t="s">
        <v>49</v>
      </c>
      <c r="C52" s="76">
        <v>1</v>
      </c>
      <c r="D52" s="95"/>
      <c r="E52" s="95">
        <v>1</v>
      </c>
      <c r="F52" s="102"/>
      <c r="G52" s="77">
        <f t="shared" si="4"/>
        <v>0</v>
      </c>
      <c r="H52" s="76"/>
      <c r="I52" s="76"/>
      <c r="J52" s="76" t="s">
        <v>34</v>
      </c>
      <c r="K52" s="76"/>
      <c r="L52" s="77" t="str">
        <f t="shared" si="1"/>
        <v>No</v>
      </c>
      <c r="M52" s="78"/>
      <c r="N52" s="79"/>
    </row>
    <row r="53" spans="1:14" ht="15">
      <c r="A53" s="276"/>
      <c r="B53" s="93" t="s">
        <v>50</v>
      </c>
      <c r="C53" s="76"/>
      <c r="D53" s="95"/>
      <c r="E53" s="95">
        <f>'Category sub-totals'!$B$25</f>
        <v>5</v>
      </c>
      <c r="F53" s="102"/>
      <c r="G53" s="77">
        <f t="shared" si="4"/>
        <v>0</v>
      </c>
      <c r="H53" s="76"/>
      <c r="I53" s="76"/>
      <c r="J53" s="76"/>
      <c r="K53" s="76"/>
      <c r="L53" s="77" t="str">
        <f t="shared" si="1"/>
        <v>No</v>
      </c>
      <c r="M53" s="78"/>
      <c r="N53" s="79"/>
    </row>
    <row r="54" spans="1:14" ht="15" customHeight="1" hidden="1">
      <c r="A54" s="276"/>
      <c r="B54" s="93"/>
      <c r="C54" s="76"/>
      <c r="D54" s="95"/>
      <c r="E54" s="95">
        <f>'Category sub-totals'!$B$25</f>
        <v>5</v>
      </c>
      <c r="F54" s="102"/>
      <c r="G54" s="77">
        <f t="shared" si="4"/>
        <v>0</v>
      </c>
      <c r="H54" s="76"/>
      <c r="I54" s="76"/>
      <c r="J54" s="76"/>
      <c r="K54" s="76"/>
      <c r="L54" s="77" t="str">
        <f t="shared" si="1"/>
        <v>No</v>
      </c>
      <c r="M54" s="78"/>
      <c r="N54" s="79"/>
    </row>
    <row r="55" spans="1:14" ht="15" customHeight="1" hidden="1">
      <c r="A55" s="276"/>
      <c r="B55" s="93"/>
      <c r="C55" s="76"/>
      <c r="D55" s="95"/>
      <c r="E55" s="95">
        <f>'Category sub-totals'!$B$25</f>
        <v>5</v>
      </c>
      <c r="F55" s="102"/>
      <c r="G55" s="77">
        <f t="shared" si="4"/>
        <v>0</v>
      </c>
      <c r="H55" s="76"/>
      <c r="I55" s="76"/>
      <c r="J55" s="76"/>
      <c r="K55" s="76"/>
      <c r="L55" s="77" t="str">
        <f t="shared" si="1"/>
        <v>No</v>
      </c>
      <c r="M55" s="78"/>
      <c r="N55" s="79"/>
    </row>
    <row r="56" spans="1:14" ht="15">
      <c r="A56" s="276"/>
      <c r="B56" s="93"/>
      <c r="C56" s="76"/>
      <c r="D56" s="95"/>
      <c r="E56" s="95">
        <f>'Category sub-totals'!$B$25</f>
        <v>5</v>
      </c>
      <c r="F56" s="102"/>
      <c r="G56" s="77">
        <f t="shared" si="4"/>
        <v>0</v>
      </c>
      <c r="H56" s="76"/>
      <c r="I56" s="76"/>
      <c r="J56" s="76"/>
      <c r="K56" s="76"/>
      <c r="L56" s="77" t="str">
        <f t="shared" si="1"/>
        <v>No</v>
      </c>
      <c r="M56" s="78"/>
      <c r="N56" s="79"/>
    </row>
    <row r="57" spans="1:14" ht="14.4" thickBot="1">
      <c r="A57" s="277"/>
      <c r="B57" s="97" t="s">
        <v>80</v>
      </c>
      <c r="C57" s="92"/>
      <c r="D57" s="98"/>
      <c r="E57" s="98"/>
      <c r="F57" s="103"/>
      <c r="G57" s="85">
        <f>SUM(G51:G56)</f>
        <v>0</v>
      </c>
      <c r="H57" s="92"/>
      <c r="I57" s="92"/>
      <c r="J57" s="92"/>
      <c r="K57" s="92"/>
      <c r="L57" s="85" t="str">
        <f t="shared" si="1"/>
        <v>No</v>
      </c>
      <c r="M57" s="86"/>
      <c r="N57" s="87"/>
    </row>
    <row r="58" spans="1:14" ht="15">
      <c r="A58" s="271" t="s">
        <v>7</v>
      </c>
      <c r="B58" s="93"/>
      <c r="C58" s="76"/>
      <c r="D58" s="95"/>
      <c r="E58" s="95">
        <f>'Category sub-totals'!$B$25</f>
        <v>5</v>
      </c>
      <c r="F58" s="102"/>
      <c r="G58" s="77">
        <f t="shared" si="4"/>
        <v>0</v>
      </c>
      <c r="H58" s="76"/>
      <c r="I58" s="76"/>
      <c r="J58" s="76"/>
      <c r="K58" s="76"/>
      <c r="L58" s="77" t="str">
        <f t="shared" si="1"/>
        <v>No</v>
      </c>
      <c r="M58" s="78"/>
      <c r="N58" s="79"/>
    </row>
    <row r="59" spans="1:14" ht="15" customHeight="1" hidden="1">
      <c r="A59" s="272"/>
      <c r="B59" s="93"/>
      <c r="C59" s="76"/>
      <c r="D59" s="95"/>
      <c r="E59" s="95">
        <f>'Category sub-totals'!$B$25</f>
        <v>5</v>
      </c>
      <c r="F59" s="102"/>
      <c r="G59" s="77">
        <f t="shared" si="4"/>
        <v>0</v>
      </c>
      <c r="H59" s="76"/>
      <c r="I59" s="76"/>
      <c r="J59" s="76"/>
      <c r="K59" s="76"/>
      <c r="L59" s="77" t="str">
        <f t="shared" si="1"/>
        <v>No</v>
      </c>
      <c r="M59" s="78"/>
      <c r="N59" s="79"/>
    </row>
    <row r="60" spans="1:14" ht="15" customHeight="1" hidden="1">
      <c r="A60" s="272"/>
      <c r="B60" s="93"/>
      <c r="C60" s="76"/>
      <c r="D60" s="95"/>
      <c r="E60" s="95">
        <f>'Category sub-totals'!$B$25</f>
        <v>5</v>
      </c>
      <c r="F60" s="102"/>
      <c r="G60" s="77">
        <f t="shared" si="4"/>
        <v>0</v>
      </c>
      <c r="H60" s="76"/>
      <c r="I60" s="76"/>
      <c r="J60" s="76"/>
      <c r="K60" s="76"/>
      <c r="L60" s="77" t="str">
        <f t="shared" si="1"/>
        <v>No</v>
      </c>
      <c r="M60" s="78"/>
      <c r="N60" s="79"/>
    </row>
    <row r="61" spans="1:14" ht="15" customHeight="1" hidden="1">
      <c r="A61" s="272"/>
      <c r="B61" s="93"/>
      <c r="C61" s="76"/>
      <c r="D61" s="95"/>
      <c r="E61" s="95">
        <f>'Category sub-totals'!$B$25</f>
        <v>5</v>
      </c>
      <c r="F61" s="102"/>
      <c r="G61" s="77">
        <f t="shared" si="4"/>
        <v>0</v>
      </c>
      <c r="H61" s="76"/>
      <c r="I61" s="76"/>
      <c r="J61" s="76"/>
      <c r="K61" s="76"/>
      <c r="L61" s="77" t="str">
        <f aca="true" t="shared" si="5" ref="L61:L113">IF(AND(H61="Yes",I61="Yes",J61="Yes",K61="No"),"Yes","No")</f>
        <v>No</v>
      </c>
      <c r="M61" s="78"/>
      <c r="N61" s="79"/>
    </row>
    <row r="62" spans="1:14" ht="15">
      <c r="A62" s="272"/>
      <c r="B62" s="93"/>
      <c r="C62" s="76"/>
      <c r="D62" s="95"/>
      <c r="E62" s="95">
        <f>'Category sub-totals'!$B$25</f>
        <v>5</v>
      </c>
      <c r="F62" s="102"/>
      <c r="G62" s="77">
        <f t="shared" si="4"/>
        <v>0</v>
      </c>
      <c r="H62" s="76"/>
      <c r="I62" s="76"/>
      <c r="J62" s="76"/>
      <c r="K62" s="76"/>
      <c r="L62" s="77" t="str">
        <f t="shared" si="5"/>
        <v>No</v>
      </c>
      <c r="M62" s="78"/>
      <c r="N62" s="79"/>
    </row>
    <row r="63" spans="1:14" ht="14.4" thickBot="1">
      <c r="A63" s="273"/>
      <c r="B63" s="97" t="s">
        <v>80</v>
      </c>
      <c r="C63" s="92"/>
      <c r="D63" s="98"/>
      <c r="E63" s="98"/>
      <c r="F63" s="103"/>
      <c r="G63" s="85">
        <f>SUM(G58:G62)</f>
        <v>0</v>
      </c>
      <c r="H63" s="92"/>
      <c r="I63" s="92"/>
      <c r="J63" s="92"/>
      <c r="K63" s="92"/>
      <c r="L63" s="85" t="str">
        <f t="shared" si="5"/>
        <v>No</v>
      </c>
      <c r="M63" s="86"/>
      <c r="N63" s="87"/>
    </row>
    <row r="64" spans="1:14" ht="15">
      <c r="A64" s="271" t="s">
        <v>8</v>
      </c>
      <c r="B64" s="100"/>
      <c r="C64" s="72"/>
      <c r="D64" s="101"/>
      <c r="E64" s="101">
        <f>'Category sub-totals'!$B$25</f>
        <v>5</v>
      </c>
      <c r="F64" s="104"/>
      <c r="G64" s="73">
        <f t="shared" si="4"/>
        <v>0</v>
      </c>
      <c r="H64" s="72"/>
      <c r="I64" s="72"/>
      <c r="J64" s="72"/>
      <c r="K64" s="72"/>
      <c r="L64" s="77" t="str">
        <f t="shared" si="5"/>
        <v>No</v>
      </c>
      <c r="M64" s="74"/>
      <c r="N64" s="75"/>
    </row>
    <row r="65" spans="1:14" ht="15" customHeight="1" hidden="1">
      <c r="A65" s="272"/>
      <c r="B65" s="93"/>
      <c r="C65" s="76"/>
      <c r="D65" s="95"/>
      <c r="E65" s="95">
        <f>'Category sub-totals'!$B$25</f>
        <v>5</v>
      </c>
      <c r="F65" s="102"/>
      <c r="G65" s="77">
        <f t="shared" si="4"/>
        <v>0</v>
      </c>
      <c r="H65" s="76"/>
      <c r="I65" s="76"/>
      <c r="J65" s="76"/>
      <c r="K65" s="76"/>
      <c r="L65" s="77" t="str">
        <f t="shared" si="5"/>
        <v>No</v>
      </c>
      <c r="M65" s="78"/>
      <c r="N65" s="79"/>
    </row>
    <row r="66" spans="1:14" ht="15" customHeight="1" hidden="1">
      <c r="A66" s="272"/>
      <c r="B66" s="93"/>
      <c r="C66" s="76"/>
      <c r="D66" s="95"/>
      <c r="E66" s="95">
        <f>'Category sub-totals'!$B$25</f>
        <v>5</v>
      </c>
      <c r="F66" s="102"/>
      <c r="G66" s="77">
        <f t="shared" si="4"/>
        <v>0</v>
      </c>
      <c r="H66" s="76"/>
      <c r="I66" s="76"/>
      <c r="J66" s="76"/>
      <c r="K66" s="76"/>
      <c r="L66" s="77" t="str">
        <f t="shared" si="5"/>
        <v>No</v>
      </c>
      <c r="M66" s="78"/>
      <c r="N66" s="79"/>
    </row>
    <row r="67" spans="1:14" ht="15" customHeight="1" hidden="1">
      <c r="A67" s="272"/>
      <c r="B67" s="93"/>
      <c r="C67" s="76"/>
      <c r="D67" s="95"/>
      <c r="E67" s="95">
        <f>'Category sub-totals'!$B$25</f>
        <v>5</v>
      </c>
      <c r="F67" s="102"/>
      <c r="G67" s="77">
        <f t="shared" si="4"/>
        <v>0</v>
      </c>
      <c r="H67" s="76"/>
      <c r="I67" s="76"/>
      <c r="J67" s="76"/>
      <c r="K67" s="76"/>
      <c r="L67" s="77" t="str">
        <f t="shared" si="5"/>
        <v>No</v>
      </c>
      <c r="M67" s="78"/>
      <c r="N67" s="79"/>
    </row>
    <row r="68" spans="1:14" ht="15">
      <c r="A68" s="272"/>
      <c r="B68" s="93"/>
      <c r="C68" s="76"/>
      <c r="D68" s="95"/>
      <c r="E68" s="95">
        <f>'Category sub-totals'!$B$25</f>
        <v>5</v>
      </c>
      <c r="F68" s="102"/>
      <c r="G68" s="77">
        <f t="shared" si="4"/>
        <v>0</v>
      </c>
      <c r="H68" s="76"/>
      <c r="I68" s="76"/>
      <c r="J68" s="76"/>
      <c r="K68" s="76"/>
      <c r="L68" s="77" t="str">
        <f t="shared" si="5"/>
        <v>No</v>
      </c>
      <c r="M68" s="78"/>
      <c r="N68" s="79"/>
    </row>
    <row r="69" spans="1:14" ht="14.4" thickBot="1">
      <c r="A69" s="273"/>
      <c r="B69" s="97" t="s">
        <v>80</v>
      </c>
      <c r="C69" s="92"/>
      <c r="D69" s="98"/>
      <c r="E69" s="98"/>
      <c r="F69" s="103"/>
      <c r="G69" s="85">
        <f>SUM(G64:G68)</f>
        <v>0</v>
      </c>
      <c r="H69" s="92"/>
      <c r="I69" s="92"/>
      <c r="J69" s="92"/>
      <c r="K69" s="92"/>
      <c r="L69" s="85" t="str">
        <f t="shared" si="5"/>
        <v>No</v>
      </c>
      <c r="M69" s="86"/>
      <c r="N69" s="87"/>
    </row>
    <row r="70" spans="1:14" ht="15">
      <c r="A70" s="271" t="s">
        <v>9</v>
      </c>
      <c r="B70" s="100"/>
      <c r="C70" s="72"/>
      <c r="D70" s="101"/>
      <c r="E70" s="101">
        <f>'Category sub-totals'!$B$25</f>
        <v>5</v>
      </c>
      <c r="F70" s="104"/>
      <c r="G70" s="73">
        <f t="shared" si="4"/>
        <v>0</v>
      </c>
      <c r="H70" s="72"/>
      <c r="I70" s="72"/>
      <c r="J70" s="72"/>
      <c r="K70" s="72"/>
      <c r="L70" s="77" t="str">
        <f t="shared" si="5"/>
        <v>No</v>
      </c>
      <c r="M70" s="74"/>
      <c r="N70" s="75"/>
    </row>
    <row r="71" spans="1:14" ht="15" customHeight="1" hidden="1">
      <c r="A71" s="272"/>
      <c r="B71" s="93"/>
      <c r="C71" s="76"/>
      <c r="D71" s="95"/>
      <c r="E71" s="95">
        <f>'Category sub-totals'!$B$25</f>
        <v>5</v>
      </c>
      <c r="F71" s="102"/>
      <c r="G71" s="77">
        <f t="shared" si="4"/>
        <v>0</v>
      </c>
      <c r="H71" s="76"/>
      <c r="I71" s="76"/>
      <c r="J71" s="76"/>
      <c r="K71" s="76"/>
      <c r="L71" s="77" t="str">
        <f t="shared" si="5"/>
        <v>No</v>
      </c>
      <c r="M71" s="78"/>
      <c r="N71" s="79"/>
    </row>
    <row r="72" spans="1:14" ht="15" customHeight="1" hidden="1">
      <c r="A72" s="272"/>
      <c r="B72" s="93"/>
      <c r="C72" s="76"/>
      <c r="D72" s="95"/>
      <c r="E72" s="95">
        <f>'Category sub-totals'!$B$25</f>
        <v>5</v>
      </c>
      <c r="F72" s="102"/>
      <c r="G72" s="77">
        <f t="shared" si="4"/>
        <v>0</v>
      </c>
      <c r="H72" s="76"/>
      <c r="I72" s="76"/>
      <c r="J72" s="76"/>
      <c r="K72" s="76"/>
      <c r="L72" s="77" t="str">
        <f t="shared" si="5"/>
        <v>No</v>
      </c>
      <c r="M72" s="78"/>
      <c r="N72" s="79"/>
    </row>
    <row r="73" spans="1:14" ht="15" customHeight="1" hidden="1">
      <c r="A73" s="272"/>
      <c r="B73" s="93"/>
      <c r="C73" s="76"/>
      <c r="D73" s="95"/>
      <c r="E73" s="95">
        <f>'Category sub-totals'!$B$25</f>
        <v>5</v>
      </c>
      <c r="F73" s="102"/>
      <c r="G73" s="77">
        <f t="shared" si="4"/>
        <v>0</v>
      </c>
      <c r="H73" s="76"/>
      <c r="I73" s="76"/>
      <c r="J73" s="76"/>
      <c r="K73" s="76"/>
      <c r="L73" s="77" t="str">
        <f t="shared" si="5"/>
        <v>No</v>
      </c>
      <c r="M73" s="78"/>
      <c r="N73" s="79"/>
    </row>
    <row r="74" spans="1:14" ht="15">
      <c r="A74" s="272"/>
      <c r="B74" s="93"/>
      <c r="C74" s="76"/>
      <c r="D74" s="95"/>
      <c r="E74" s="95">
        <f>'Category sub-totals'!$B$25</f>
        <v>5</v>
      </c>
      <c r="F74" s="102"/>
      <c r="G74" s="77">
        <f t="shared" si="4"/>
        <v>0</v>
      </c>
      <c r="H74" s="76"/>
      <c r="I74" s="76"/>
      <c r="J74" s="76"/>
      <c r="K74" s="76"/>
      <c r="L74" s="77" t="str">
        <f t="shared" si="5"/>
        <v>No</v>
      </c>
      <c r="M74" s="78"/>
      <c r="N74" s="79"/>
    </row>
    <row r="75" spans="1:14" ht="14.4" thickBot="1">
      <c r="A75" s="273"/>
      <c r="B75" s="97" t="s">
        <v>80</v>
      </c>
      <c r="C75" s="92"/>
      <c r="D75" s="98"/>
      <c r="E75" s="98"/>
      <c r="F75" s="103"/>
      <c r="G75" s="85">
        <f>SUM(G70:G74)</f>
        <v>0</v>
      </c>
      <c r="H75" s="92"/>
      <c r="I75" s="92"/>
      <c r="J75" s="92"/>
      <c r="K75" s="92"/>
      <c r="L75" s="85" t="str">
        <f t="shared" si="5"/>
        <v>No</v>
      </c>
      <c r="M75" s="86"/>
      <c r="N75" s="87"/>
    </row>
    <row r="76" spans="1:14" ht="14.4" thickBot="1">
      <c r="A76" s="271" t="s">
        <v>10</v>
      </c>
      <c r="B76" s="100" t="s">
        <v>114</v>
      </c>
      <c r="D76" s="101">
        <v>22000</v>
      </c>
      <c r="E76" s="72">
        <v>2</v>
      </c>
      <c r="F76" s="104" t="s">
        <v>200</v>
      </c>
      <c r="G76" s="77">
        <f>D76*E76</f>
        <v>44000</v>
      </c>
      <c r="H76" s="72"/>
      <c r="I76" s="72"/>
      <c r="J76" s="72"/>
      <c r="K76" s="72"/>
      <c r="L76" s="73" t="str">
        <f t="shared" si="5"/>
        <v>No</v>
      </c>
      <c r="M76" s="74"/>
      <c r="N76" s="75"/>
    </row>
    <row r="77" spans="1:14" ht="15">
      <c r="A77" s="272"/>
      <c r="B77" s="93" t="s">
        <v>115</v>
      </c>
      <c r="D77" s="95">
        <v>300000</v>
      </c>
      <c r="E77" s="76">
        <v>1</v>
      </c>
      <c r="F77" s="104" t="s">
        <v>201</v>
      </c>
      <c r="G77" s="77">
        <f>D77*E77</f>
        <v>300000</v>
      </c>
      <c r="H77" s="76"/>
      <c r="I77" s="76"/>
      <c r="J77" s="76"/>
      <c r="K77" s="76"/>
      <c r="L77" s="77" t="str">
        <f t="shared" si="5"/>
        <v>No</v>
      </c>
      <c r="M77" s="78"/>
      <c r="N77" s="79"/>
    </row>
    <row r="78" spans="1:14" ht="15">
      <c r="A78" s="272"/>
      <c r="B78" s="93"/>
      <c r="C78" s="76"/>
      <c r="D78" s="95"/>
      <c r="E78" s="95">
        <f>'Category sub-totals'!$B$25</f>
        <v>5</v>
      </c>
      <c r="F78" s="102"/>
      <c r="G78" s="77">
        <f>D78*E78</f>
        <v>0</v>
      </c>
      <c r="H78" s="76"/>
      <c r="I78" s="76"/>
      <c r="J78" s="76"/>
      <c r="K78" s="76"/>
      <c r="L78" s="77" t="str">
        <f t="shared" si="5"/>
        <v>No</v>
      </c>
      <c r="M78" s="78"/>
      <c r="N78" s="79"/>
    </row>
    <row r="79" spans="1:14" ht="15" customHeight="1" hidden="1">
      <c r="A79" s="272"/>
      <c r="B79" s="93"/>
      <c r="C79" s="76"/>
      <c r="D79" s="95"/>
      <c r="E79" s="95">
        <f>'Category sub-totals'!$B$25</f>
        <v>5</v>
      </c>
      <c r="F79" s="102"/>
      <c r="G79" s="77">
        <f t="shared" si="4"/>
        <v>0</v>
      </c>
      <c r="H79" s="76"/>
      <c r="I79" s="76"/>
      <c r="J79" s="76"/>
      <c r="K79" s="76"/>
      <c r="L79" s="77" t="str">
        <f t="shared" si="5"/>
        <v>No</v>
      </c>
      <c r="M79" s="78"/>
      <c r="N79" s="79"/>
    </row>
    <row r="80" spans="1:14" ht="15" customHeight="1" hidden="1">
      <c r="A80" s="272"/>
      <c r="B80" s="93"/>
      <c r="C80" s="76"/>
      <c r="D80" s="95"/>
      <c r="E80" s="95">
        <f>'Category sub-totals'!$B$25</f>
        <v>5</v>
      </c>
      <c r="F80" s="102"/>
      <c r="G80" s="77">
        <f t="shared" si="4"/>
        <v>0</v>
      </c>
      <c r="H80" s="76"/>
      <c r="I80" s="76"/>
      <c r="J80" s="76"/>
      <c r="K80" s="76"/>
      <c r="L80" s="77" t="str">
        <f t="shared" si="5"/>
        <v>No</v>
      </c>
      <c r="M80" s="78"/>
      <c r="N80" s="79"/>
    </row>
    <row r="81" spans="1:14" ht="15">
      <c r="A81" s="272"/>
      <c r="B81" s="93"/>
      <c r="C81" s="76"/>
      <c r="D81" s="95"/>
      <c r="E81" s="95">
        <f>'Category sub-totals'!$B$25</f>
        <v>5</v>
      </c>
      <c r="F81" s="102"/>
      <c r="G81" s="77">
        <f t="shared" si="4"/>
        <v>0</v>
      </c>
      <c r="H81" s="76"/>
      <c r="I81" s="76"/>
      <c r="J81" s="76"/>
      <c r="K81" s="76"/>
      <c r="L81" s="77" t="str">
        <f t="shared" si="5"/>
        <v>No</v>
      </c>
      <c r="M81" s="78"/>
      <c r="N81" s="79"/>
    </row>
    <row r="82" spans="1:14" ht="14.4" thickBot="1">
      <c r="A82" s="273"/>
      <c r="B82" s="97" t="s">
        <v>80</v>
      </c>
      <c r="C82" s="92"/>
      <c r="D82" s="98"/>
      <c r="E82" s="98"/>
      <c r="F82" s="103"/>
      <c r="G82" s="85">
        <f>SUM(G76:G81)</f>
        <v>344000</v>
      </c>
      <c r="H82" s="92"/>
      <c r="I82" s="92"/>
      <c r="J82" s="92"/>
      <c r="K82" s="92"/>
      <c r="L82" s="85" t="str">
        <f t="shared" si="5"/>
        <v>No</v>
      </c>
      <c r="M82" s="86"/>
      <c r="N82" s="87"/>
    </row>
    <row r="83" spans="1:14" ht="15">
      <c r="A83" s="271" t="s">
        <v>11</v>
      </c>
      <c r="B83" s="100" t="s">
        <v>131</v>
      </c>
      <c r="C83" s="95">
        <f>117.21*'Category sub-totals'!B31</f>
        <v>437603.535</v>
      </c>
      <c r="E83" s="64">
        <v>2</v>
      </c>
      <c r="F83" s="104" t="s">
        <v>202</v>
      </c>
      <c r="G83" s="73">
        <f>+C83*E83</f>
        <v>875207.07</v>
      </c>
      <c r="H83" s="72"/>
      <c r="I83" s="72"/>
      <c r="J83" s="72"/>
      <c r="K83" s="72"/>
      <c r="L83" s="73" t="str">
        <f t="shared" si="5"/>
        <v>No</v>
      </c>
      <c r="M83" s="74"/>
      <c r="N83" s="75"/>
    </row>
    <row r="84" spans="1:14" ht="15" customHeight="1" hidden="1">
      <c r="A84" s="272"/>
      <c r="B84" s="93"/>
      <c r="C84" s="95"/>
      <c r="E84" s="95">
        <f>'Category sub-totals'!$B$25</f>
        <v>5</v>
      </c>
      <c r="F84" s="102"/>
      <c r="G84" s="77">
        <f>C84*E84</f>
        <v>0</v>
      </c>
      <c r="H84" s="76"/>
      <c r="I84" s="76"/>
      <c r="J84" s="76"/>
      <c r="K84" s="76"/>
      <c r="L84" s="77" t="str">
        <f t="shared" si="5"/>
        <v>No</v>
      </c>
      <c r="M84" s="78"/>
      <c r="N84" s="79"/>
    </row>
    <row r="85" spans="1:14" ht="15" customHeight="1" hidden="1">
      <c r="A85" s="272"/>
      <c r="B85" s="93"/>
      <c r="C85" s="95"/>
      <c r="E85" s="95">
        <f>'Category sub-totals'!$B$25</f>
        <v>5</v>
      </c>
      <c r="F85" s="102"/>
      <c r="G85" s="77">
        <f>C85*E85</f>
        <v>0</v>
      </c>
      <c r="H85" s="76"/>
      <c r="I85" s="76"/>
      <c r="J85" s="76"/>
      <c r="K85" s="76"/>
      <c r="L85" s="77" t="str">
        <f t="shared" si="5"/>
        <v>No</v>
      </c>
      <c r="M85" s="78"/>
      <c r="N85" s="79"/>
    </row>
    <row r="86" spans="1:14" ht="15" customHeight="1" hidden="1">
      <c r="A86" s="272"/>
      <c r="B86" s="93"/>
      <c r="C86" s="95"/>
      <c r="E86" s="95">
        <f>'Category sub-totals'!$B$25</f>
        <v>5</v>
      </c>
      <c r="F86" s="102"/>
      <c r="G86" s="77">
        <f>C86*E86</f>
        <v>0</v>
      </c>
      <c r="H86" s="76"/>
      <c r="I86" s="76"/>
      <c r="J86" s="76"/>
      <c r="K86" s="76"/>
      <c r="L86" s="77" t="str">
        <f t="shared" si="5"/>
        <v>No</v>
      </c>
      <c r="M86" s="78"/>
      <c r="N86" s="79"/>
    </row>
    <row r="87" spans="1:14" ht="15">
      <c r="A87" s="272"/>
      <c r="B87" s="93" t="s">
        <v>132</v>
      </c>
      <c r="C87" s="95">
        <f>193.83*'Category sub-totals'!B31</f>
        <v>723664.305</v>
      </c>
      <c r="E87" s="95">
        <v>1</v>
      </c>
      <c r="F87" s="102" t="s">
        <v>202</v>
      </c>
      <c r="G87" s="77">
        <f>+C87*E87</f>
        <v>723664.305</v>
      </c>
      <c r="H87" s="76"/>
      <c r="I87" s="76"/>
      <c r="J87" s="76"/>
      <c r="K87" s="76"/>
      <c r="L87" s="77" t="str">
        <f t="shared" si="5"/>
        <v>No</v>
      </c>
      <c r="M87" s="78"/>
      <c r="N87" s="79"/>
    </row>
    <row r="88" spans="1:14" ht="14.4" thickBot="1">
      <c r="A88" s="273"/>
      <c r="B88" s="97" t="s">
        <v>80</v>
      </c>
      <c r="C88" s="92"/>
      <c r="D88" s="98"/>
      <c r="E88" s="98"/>
      <c r="F88" s="103"/>
      <c r="G88" s="85">
        <f>SUM(G83:G87)</f>
        <v>1598871.375</v>
      </c>
      <c r="H88" s="92"/>
      <c r="I88" s="92"/>
      <c r="J88" s="92"/>
      <c r="K88" s="92"/>
      <c r="L88" s="85" t="str">
        <f t="shared" si="5"/>
        <v>No</v>
      </c>
      <c r="M88" s="86"/>
      <c r="N88" s="87"/>
    </row>
    <row r="89" spans="1:14" ht="15">
      <c r="A89" s="271" t="s">
        <v>0</v>
      </c>
      <c r="B89" s="93"/>
      <c r="C89" s="76"/>
      <c r="D89" s="95"/>
      <c r="E89" s="95">
        <f>'Category sub-totals'!$B$25</f>
        <v>5</v>
      </c>
      <c r="F89" s="102"/>
      <c r="G89" s="77">
        <f t="shared" si="4"/>
        <v>0</v>
      </c>
      <c r="H89" s="76"/>
      <c r="I89" s="76"/>
      <c r="J89" s="76"/>
      <c r="K89" s="76"/>
      <c r="L89" s="77" t="str">
        <f t="shared" si="5"/>
        <v>No</v>
      </c>
      <c r="M89" s="78"/>
      <c r="N89" s="79"/>
    </row>
    <row r="90" spans="1:14" ht="15" customHeight="1" hidden="1">
      <c r="A90" s="272"/>
      <c r="B90" s="93"/>
      <c r="C90" s="76"/>
      <c r="D90" s="95"/>
      <c r="E90" s="95">
        <f>'Category sub-totals'!$B$25</f>
        <v>5</v>
      </c>
      <c r="F90" s="102"/>
      <c r="G90" s="77">
        <f t="shared" si="4"/>
        <v>0</v>
      </c>
      <c r="H90" s="76"/>
      <c r="I90" s="76"/>
      <c r="J90" s="76"/>
      <c r="K90" s="76"/>
      <c r="L90" s="77" t="str">
        <f t="shared" si="5"/>
        <v>No</v>
      </c>
      <c r="M90" s="78"/>
      <c r="N90" s="79"/>
    </row>
    <row r="91" spans="1:14" ht="15" customHeight="1" hidden="1">
      <c r="A91" s="272"/>
      <c r="B91" s="93"/>
      <c r="C91" s="76"/>
      <c r="D91" s="95"/>
      <c r="E91" s="95">
        <f>'Category sub-totals'!$B$25</f>
        <v>5</v>
      </c>
      <c r="F91" s="102"/>
      <c r="G91" s="77">
        <f aca="true" t="shared" si="6" ref="G91:G112">D91*E91</f>
        <v>0</v>
      </c>
      <c r="H91" s="76"/>
      <c r="I91" s="76"/>
      <c r="J91" s="76"/>
      <c r="K91" s="76"/>
      <c r="L91" s="77" t="str">
        <f t="shared" si="5"/>
        <v>No</v>
      </c>
      <c r="M91" s="78"/>
      <c r="N91" s="79"/>
    </row>
    <row r="92" spans="1:14" ht="15" customHeight="1" hidden="1">
      <c r="A92" s="272"/>
      <c r="B92" s="93"/>
      <c r="C92" s="76"/>
      <c r="D92" s="95"/>
      <c r="E92" s="95">
        <f>'Category sub-totals'!$B$25</f>
        <v>5</v>
      </c>
      <c r="F92" s="102"/>
      <c r="G92" s="77">
        <f t="shared" si="6"/>
        <v>0</v>
      </c>
      <c r="H92" s="76"/>
      <c r="I92" s="76"/>
      <c r="J92" s="76"/>
      <c r="K92" s="76"/>
      <c r="L92" s="77" t="str">
        <f t="shared" si="5"/>
        <v>No</v>
      </c>
      <c r="M92" s="78"/>
      <c r="N92" s="79"/>
    </row>
    <row r="93" spans="1:14" ht="15" customHeight="1" hidden="1">
      <c r="A93" s="272"/>
      <c r="B93" s="93"/>
      <c r="C93" s="76"/>
      <c r="D93" s="95"/>
      <c r="E93" s="95">
        <f>'Category sub-totals'!$B$25</f>
        <v>5</v>
      </c>
      <c r="F93" s="102"/>
      <c r="G93" s="77">
        <f t="shared" si="6"/>
        <v>0</v>
      </c>
      <c r="H93" s="76"/>
      <c r="I93" s="76"/>
      <c r="J93" s="76"/>
      <c r="K93" s="76"/>
      <c r="L93" s="77" t="str">
        <f t="shared" si="5"/>
        <v>No</v>
      </c>
      <c r="M93" s="78"/>
      <c r="N93" s="79"/>
    </row>
    <row r="94" spans="1:14" ht="15">
      <c r="A94" s="272"/>
      <c r="B94" s="93"/>
      <c r="C94" s="76"/>
      <c r="D94" s="95"/>
      <c r="E94" s="95">
        <f>'Category sub-totals'!$B$25</f>
        <v>5</v>
      </c>
      <c r="F94" s="102"/>
      <c r="G94" s="77">
        <f t="shared" si="6"/>
        <v>0</v>
      </c>
      <c r="H94" s="76"/>
      <c r="I94" s="76"/>
      <c r="J94" s="76"/>
      <c r="K94" s="76"/>
      <c r="L94" s="77" t="str">
        <f t="shared" si="5"/>
        <v>No</v>
      </c>
      <c r="M94" s="78"/>
      <c r="N94" s="79"/>
    </row>
    <row r="95" spans="1:14" ht="14.4" thickBot="1">
      <c r="A95" s="273"/>
      <c r="B95" s="105" t="s">
        <v>80</v>
      </c>
      <c r="C95" s="106"/>
      <c r="D95" s="107"/>
      <c r="E95" s="107"/>
      <c r="F95" s="108"/>
      <c r="G95" s="99">
        <f>SUM(G89:G94)</f>
        <v>0</v>
      </c>
      <c r="H95" s="106"/>
      <c r="I95" s="106"/>
      <c r="J95" s="106"/>
      <c r="K95" s="106"/>
      <c r="L95" s="99" t="str">
        <f t="shared" si="5"/>
        <v>No</v>
      </c>
      <c r="M95" s="109"/>
      <c r="N95" s="110"/>
    </row>
    <row r="96" spans="1:14" ht="15">
      <c r="A96" s="271" t="s">
        <v>46</v>
      </c>
      <c r="B96" s="213" t="s">
        <v>47</v>
      </c>
      <c r="C96" s="210"/>
      <c r="D96" s="211">
        <v>9000</v>
      </c>
      <c r="E96" s="70">
        <v>5</v>
      </c>
      <c r="F96" s="212"/>
      <c r="G96" s="71">
        <f>D96*E96</f>
        <v>45000</v>
      </c>
      <c r="H96" s="72"/>
      <c r="I96" s="72"/>
      <c r="J96" s="72"/>
      <c r="K96" s="72"/>
      <c r="L96" s="73" t="str">
        <f t="shared" si="5"/>
        <v>No</v>
      </c>
      <c r="M96" s="74"/>
      <c r="N96" s="75"/>
    </row>
    <row r="97" spans="1:14" ht="15">
      <c r="A97" s="272"/>
      <c r="B97" s="213" t="s">
        <v>124</v>
      </c>
      <c r="C97" s="210"/>
      <c r="D97" s="214">
        <v>4375</v>
      </c>
      <c r="E97" s="70">
        <v>3</v>
      </c>
      <c r="F97" s="212"/>
      <c r="G97" s="71">
        <f>D97*E97</f>
        <v>13125</v>
      </c>
      <c r="H97" s="76"/>
      <c r="I97" s="76"/>
      <c r="J97" s="76"/>
      <c r="K97" s="76"/>
      <c r="L97" s="77" t="str">
        <f t="shared" si="5"/>
        <v>No</v>
      </c>
      <c r="M97" s="78"/>
      <c r="N97" s="79"/>
    </row>
    <row r="98" spans="1:14" ht="15">
      <c r="A98" s="272"/>
      <c r="B98" s="213" t="s">
        <v>125</v>
      </c>
      <c r="C98" s="210"/>
      <c r="D98" s="214">
        <v>1000</v>
      </c>
      <c r="E98" s="70">
        <v>5</v>
      </c>
      <c r="F98" s="212"/>
      <c r="G98" s="71">
        <f aca="true" t="shared" si="7" ref="G98:G102">D98*E98</f>
        <v>5000</v>
      </c>
      <c r="H98" s="76"/>
      <c r="I98" s="76"/>
      <c r="J98" s="76"/>
      <c r="K98" s="76"/>
      <c r="L98" s="77" t="str">
        <f t="shared" si="5"/>
        <v>No</v>
      </c>
      <c r="M98" s="78"/>
      <c r="N98" s="79"/>
    </row>
    <row r="99" spans="1:14" ht="15">
      <c r="A99" s="272"/>
      <c r="B99" s="213" t="s">
        <v>126</v>
      </c>
      <c r="C99" s="210"/>
      <c r="D99" s="214">
        <v>1500</v>
      </c>
      <c r="E99" s="70">
        <v>2</v>
      </c>
      <c r="F99" s="212"/>
      <c r="G99" s="71">
        <f t="shared" si="7"/>
        <v>3000</v>
      </c>
      <c r="H99" s="76"/>
      <c r="I99" s="76"/>
      <c r="J99" s="76"/>
      <c r="K99" s="76"/>
      <c r="L99" s="77" t="str">
        <f t="shared" si="5"/>
        <v>No</v>
      </c>
      <c r="M99" s="78"/>
      <c r="N99" s="79"/>
    </row>
    <row r="100" spans="1:14" ht="15">
      <c r="A100" s="272"/>
      <c r="B100" s="213" t="s">
        <v>127</v>
      </c>
      <c r="C100" s="210"/>
      <c r="D100" s="214">
        <v>1000</v>
      </c>
      <c r="E100" s="70">
        <v>2</v>
      </c>
      <c r="F100" s="212"/>
      <c r="G100" s="71">
        <f t="shared" si="7"/>
        <v>2000</v>
      </c>
      <c r="H100" s="76"/>
      <c r="I100" s="76"/>
      <c r="J100" s="76"/>
      <c r="K100" s="76"/>
      <c r="L100" s="77"/>
      <c r="M100" s="78"/>
      <c r="N100" s="79"/>
    </row>
    <row r="101" spans="1:14" ht="20.4" customHeight="1">
      <c r="A101" s="272"/>
      <c r="B101" s="213" t="s">
        <v>204</v>
      </c>
      <c r="C101" s="210"/>
      <c r="D101" s="215"/>
      <c r="E101" s="70"/>
      <c r="F101" s="212"/>
      <c r="G101" s="71">
        <f>D101*E101</f>
        <v>0</v>
      </c>
      <c r="H101" s="76" t="s">
        <v>34</v>
      </c>
      <c r="I101" s="90" t="s">
        <v>34</v>
      </c>
      <c r="J101" s="90" t="s">
        <v>34</v>
      </c>
      <c r="K101" s="76" t="s">
        <v>33</v>
      </c>
      <c r="L101" s="77" t="str">
        <f t="shared" si="5"/>
        <v>No</v>
      </c>
      <c r="M101" s="78" t="s">
        <v>53</v>
      </c>
      <c r="N101" s="79"/>
    </row>
    <row r="102" spans="1:14" ht="15">
      <c r="A102" s="272"/>
      <c r="B102" s="213" t="s">
        <v>205</v>
      </c>
      <c r="C102" s="76"/>
      <c r="D102" s="95">
        <v>750</v>
      </c>
      <c r="E102" s="95">
        <v>5</v>
      </c>
      <c r="F102" s="212"/>
      <c r="G102" s="71">
        <f t="shared" si="7"/>
        <v>3750</v>
      </c>
      <c r="H102" s="76"/>
      <c r="I102" s="76"/>
      <c r="J102" s="76"/>
      <c r="K102" s="76"/>
      <c r="L102" s="77" t="str">
        <f t="shared" si="5"/>
        <v>No</v>
      </c>
      <c r="M102" s="78"/>
      <c r="N102" s="79"/>
    </row>
    <row r="103" spans="1:14" ht="14.4" thickBot="1">
      <c r="A103" s="273"/>
      <c r="B103" s="97" t="s">
        <v>80</v>
      </c>
      <c r="C103" s="92"/>
      <c r="D103" s="98"/>
      <c r="E103" s="98"/>
      <c r="F103" s="103"/>
      <c r="G103" s="85">
        <f>SUM(G96:G102)</f>
        <v>71875</v>
      </c>
      <c r="H103" s="92"/>
      <c r="I103" s="92"/>
      <c r="J103" s="92"/>
      <c r="K103" s="92"/>
      <c r="L103" s="85" t="str">
        <f t="shared" si="5"/>
        <v>No</v>
      </c>
      <c r="M103" s="86"/>
      <c r="N103" s="87"/>
    </row>
    <row r="104" spans="1:14" ht="15">
      <c r="A104" s="271" t="s">
        <v>44</v>
      </c>
      <c r="B104" s="100"/>
      <c r="C104" s="72"/>
      <c r="D104" s="101"/>
      <c r="E104" s="101">
        <f>'Category sub-totals'!$B$25</f>
        <v>5</v>
      </c>
      <c r="F104" s="104"/>
      <c r="G104" s="73">
        <f t="shared" si="6"/>
        <v>0</v>
      </c>
      <c r="H104" s="72"/>
      <c r="I104" s="72"/>
      <c r="J104" s="72"/>
      <c r="K104" s="72"/>
      <c r="L104" s="73" t="str">
        <f t="shared" si="5"/>
        <v>No</v>
      </c>
      <c r="M104" s="74"/>
      <c r="N104" s="75"/>
    </row>
    <row r="105" spans="1:14" ht="15" customHeight="1" hidden="1">
      <c r="A105" s="272"/>
      <c r="B105" s="93"/>
      <c r="C105" s="76"/>
      <c r="D105" s="95"/>
      <c r="E105" s="95">
        <f>'Category sub-totals'!$B$25</f>
        <v>5</v>
      </c>
      <c r="F105" s="102"/>
      <c r="G105" s="77">
        <f t="shared" si="6"/>
        <v>0</v>
      </c>
      <c r="H105" s="76"/>
      <c r="I105" s="76"/>
      <c r="J105" s="76"/>
      <c r="K105" s="76"/>
      <c r="L105" s="77" t="str">
        <f t="shared" si="5"/>
        <v>No</v>
      </c>
      <c r="M105" s="78"/>
      <c r="N105" s="79"/>
    </row>
    <row r="106" spans="1:14" ht="15" customHeight="1" hidden="1">
      <c r="A106" s="272"/>
      <c r="B106" s="93"/>
      <c r="C106" s="76"/>
      <c r="D106" s="95"/>
      <c r="E106" s="95">
        <f>'Category sub-totals'!$B$25</f>
        <v>5</v>
      </c>
      <c r="F106" s="102"/>
      <c r="G106" s="77">
        <f t="shared" si="6"/>
        <v>0</v>
      </c>
      <c r="H106" s="76"/>
      <c r="I106" s="76"/>
      <c r="J106" s="76"/>
      <c r="K106" s="76"/>
      <c r="L106" s="77" t="str">
        <f t="shared" si="5"/>
        <v>No</v>
      </c>
      <c r="M106" s="78"/>
      <c r="N106" s="79"/>
    </row>
    <row r="107" spans="1:14" ht="15">
      <c r="A107" s="272"/>
      <c r="B107" s="93"/>
      <c r="C107" s="76"/>
      <c r="D107" s="95"/>
      <c r="E107" s="95">
        <f>'Category sub-totals'!$B$25</f>
        <v>5</v>
      </c>
      <c r="F107" s="102"/>
      <c r="G107" s="77">
        <f t="shared" si="6"/>
        <v>0</v>
      </c>
      <c r="H107" s="76"/>
      <c r="I107" s="76"/>
      <c r="J107" s="76"/>
      <c r="K107" s="76"/>
      <c r="L107" s="77" t="str">
        <f t="shared" si="5"/>
        <v>No</v>
      </c>
      <c r="M107" s="78"/>
      <c r="N107" s="79"/>
    </row>
    <row r="108" spans="1:14" ht="14.4" thickBot="1">
      <c r="A108" s="273"/>
      <c r="B108" s="111" t="s">
        <v>80</v>
      </c>
      <c r="C108" s="92"/>
      <c r="D108" s="98"/>
      <c r="E108" s="98"/>
      <c r="F108" s="103"/>
      <c r="G108" s="112">
        <f>SUM(G104:G107)</f>
        <v>0</v>
      </c>
      <c r="H108" s="92"/>
      <c r="I108" s="92"/>
      <c r="J108" s="92"/>
      <c r="K108" s="92"/>
      <c r="L108" s="112" t="str">
        <f t="shared" si="5"/>
        <v>No</v>
      </c>
      <c r="M108" s="86"/>
      <c r="N108" s="87"/>
    </row>
    <row r="109" spans="1:14" ht="15">
      <c r="A109" s="271" t="s">
        <v>86</v>
      </c>
      <c r="B109" s="100" t="s">
        <v>51</v>
      </c>
      <c r="C109" s="72"/>
      <c r="D109" s="101"/>
      <c r="E109" s="101">
        <f>'Category sub-totals'!$B$25</f>
        <v>5</v>
      </c>
      <c r="F109" s="104"/>
      <c r="G109" s="73">
        <f t="shared" si="6"/>
        <v>0</v>
      </c>
      <c r="H109" s="72"/>
      <c r="I109" s="72"/>
      <c r="J109" s="72"/>
      <c r="K109" s="72"/>
      <c r="L109" s="73" t="str">
        <f t="shared" si="5"/>
        <v>No</v>
      </c>
      <c r="M109" s="74"/>
      <c r="N109" s="75"/>
    </row>
    <row r="110" spans="1:14" ht="15" customHeight="1" hidden="1">
      <c r="A110" s="272"/>
      <c r="B110" s="93"/>
      <c r="C110" s="76"/>
      <c r="D110" s="95"/>
      <c r="E110" s="95">
        <f>'Category sub-totals'!$B$25</f>
        <v>5</v>
      </c>
      <c r="F110" s="102"/>
      <c r="G110" s="77">
        <f t="shared" si="6"/>
        <v>0</v>
      </c>
      <c r="H110" s="76"/>
      <c r="I110" s="76"/>
      <c r="J110" s="76"/>
      <c r="K110" s="76"/>
      <c r="L110" s="77" t="str">
        <f t="shared" si="5"/>
        <v>No</v>
      </c>
      <c r="M110" s="78"/>
      <c r="N110" s="79"/>
    </row>
    <row r="111" spans="1:14" ht="15" customHeight="1" hidden="1">
      <c r="A111" s="272"/>
      <c r="B111" s="93"/>
      <c r="C111" s="76"/>
      <c r="D111" s="95"/>
      <c r="E111" s="95">
        <f>'Category sub-totals'!$B$25</f>
        <v>5</v>
      </c>
      <c r="F111" s="102"/>
      <c r="G111" s="77">
        <f t="shared" si="6"/>
        <v>0</v>
      </c>
      <c r="H111" s="76"/>
      <c r="I111" s="76"/>
      <c r="J111" s="90" t="s">
        <v>35</v>
      </c>
      <c r="K111" s="76"/>
      <c r="L111" s="77" t="str">
        <f t="shared" si="5"/>
        <v>No</v>
      </c>
      <c r="M111" s="78"/>
      <c r="N111" s="79"/>
    </row>
    <row r="112" spans="1:14" ht="15">
      <c r="A112" s="272"/>
      <c r="B112" s="93"/>
      <c r="C112" s="76"/>
      <c r="D112" s="95"/>
      <c r="E112" s="95">
        <f>'Category sub-totals'!$B$25</f>
        <v>5</v>
      </c>
      <c r="F112" s="102"/>
      <c r="G112" s="77">
        <f t="shared" si="6"/>
        <v>0</v>
      </c>
      <c r="H112" s="76"/>
      <c r="I112" s="76"/>
      <c r="J112" s="76"/>
      <c r="K112" s="76"/>
      <c r="L112" s="77" t="str">
        <f t="shared" si="5"/>
        <v>No</v>
      </c>
      <c r="M112" s="78"/>
      <c r="N112" s="79"/>
    </row>
    <row r="113" spans="1:14" ht="14.4" thickBot="1">
      <c r="A113" s="273"/>
      <c r="B113" s="97" t="s">
        <v>80</v>
      </c>
      <c r="C113" s="92"/>
      <c r="D113" s="98"/>
      <c r="E113" s="98"/>
      <c r="F113" s="103"/>
      <c r="G113" s="85">
        <f>SUM(G109:G112)</f>
        <v>0</v>
      </c>
      <c r="H113" s="92"/>
      <c r="I113" s="92"/>
      <c r="J113" s="92"/>
      <c r="K113" s="92"/>
      <c r="L113" s="85" t="str">
        <f t="shared" si="5"/>
        <v>No</v>
      </c>
      <c r="M113" s="86"/>
      <c r="N113" s="87"/>
    </row>
  </sheetData>
  <mergeCells count="16">
    <mergeCell ref="H1:M2"/>
    <mergeCell ref="A44:A50"/>
    <mergeCell ref="A37:A43"/>
    <mergeCell ref="A22:A36"/>
    <mergeCell ref="A4:A21"/>
    <mergeCell ref="A109:A113"/>
    <mergeCell ref="A104:A108"/>
    <mergeCell ref="A96:A103"/>
    <mergeCell ref="A1:G2"/>
    <mergeCell ref="A51:A57"/>
    <mergeCell ref="A89:A95"/>
    <mergeCell ref="A83:A88"/>
    <mergeCell ref="A76:A82"/>
    <mergeCell ref="A70:A75"/>
    <mergeCell ref="A64:A69"/>
    <mergeCell ref="A58:A63"/>
  </mergeCells>
  <conditionalFormatting sqref="H4:K113">
    <cfRule type="containsText" priority="4" dxfId="1" operator="containsText" text="No">
      <formula>NOT(ISERROR(SEARCH("No",H4)))</formula>
    </cfRule>
  </conditionalFormatting>
  <conditionalFormatting sqref="H4:J113">
    <cfRule type="containsText" priority="3" dxfId="0" operator="containsText" text="Yes">
      <formula>NOT(ISERROR(SEARCH("Yes",H4)))</formula>
    </cfRule>
  </conditionalFormatting>
  <conditionalFormatting sqref="K4:K113">
    <cfRule type="containsText" priority="1" dxfId="1" operator="containsText" text="Yes">
      <formula>NOT(ISERROR(SEARCH("Yes",K4)))</formula>
    </cfRule>
    <cfRule type="containsText" priority="2" dxfId="0" operator="containsText" text="No">
      <formula>NOT(ISERROR(SEARCH("No",K4)))</formula>
    </cfRule>
  </conditionalFormatting>
  <dataValidations count="1">
    <dataValidation type="list" showInputMessage="1" showErrorMessage="1" sqref="H4:K113">
      <formula1>"', Yes, No"</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8"/>
  <sheetViews>
    <sheetView workbookViewId="0" topLeftCell="A1">
      <selection activeCell="L9" sqref="L9"/>
    </sheetView>
  </sheetViews>
  <sheetFormatPr defaultColWidth="9.140625" defaultRowHeight="15"/>
  <cols>
    <col min="1" max="1" width="21.8515625" style="0" customWidth="1"/>
    <col min="2" max="2" width="15.28125" style="0" customWidth="1"/>
    <col min="3" max="3" width="22.7109375" style="0" customWidth="1"/>
    <col min="4" max="4" width="16.7109375" style="0" customWidth="1"/>
    <col min="11" max="11" width="13.00390625" style="0" customWidth="1"/>
  </cols>
  <sheetData>
    <row r="3" ht="15">
      <c r="A3" s="13"/>
    </row>
    <row r="4" ht="15">
      <c r="A4" s="13"/>
    </row>
    <row r="5" ht="15">
      <c r="A5" s="13"/>
    </row>
    <row r="6" spans="1:17" ht="15">
      <c r="A6" s="114"/>
      <c r="B6" s="33" t="s">
        <v>1</v>
      </c>
      <c r="C6" s="33" t="s">
        <v>2</v>
      </c>
      <c r="D6" s="33" t="s">
        <v>3</v>
      </c>
      <c r="E6" s="33" t="s">
        <v>4</v>
      </c>
      <c r="F6" s="33" t="s">
        <v>5</v>
      </c>
      <c r="G6" s="33" t="s">
        <v>6</v>
      </c>
      <c r="H6" s="33" t="s">
        <v>7</v>
      </c>
      <c r="I6" s="33" t="s">
        <v>8</v>
      </c>
      <c r="J6" s="33" t="s">
        <v>9</v>
      </c>
      <c r="K6" s="33" t="s">
        <v>10</v>
      </c>
      <c r="L6" s="33" t="s">
        <v>11</v>
      </c>
      <c r="M6" s="33" t="s">
        <v>0</v>
      </c>
      <c r="N6" s="33" t="s">
        <v>46</v>
      </c>
      <c r="O6" s="33" t="s">
        <v>44</v>
      </c>
      <c r="P6" s="33" t="s">
        <v>45</v>
      </c>
      <c r="Q6" s="2"/>
    </row>
    <row r="7" spans="1:16" ht="15">
      <c r="A7" s="114" t="s">
        <v>57</v>
      </c>
      <c r="B7" s="129">
        <f>'Category sub-totals'!B5</f>
        <v>216826.32692307694</v>
      </c>
      <c r="C7" s="129">
        <f>'Category sub-totals'!B6</f>
        <v>8919</v>
      </c>
      <c r="D7" s="129">
        <f>'Category sub-totals'!B7</f>
        <v>3750</v>
      </c>
      <c r="E7" s="129">
        <f>'Category sub-totals'!B8</f>
        <v>4044.375</v>
      </c>
      <c r="F7" s="129">
        <f>'Category sub-totals'!B9</f>
        <v>2668.7999999999997</v>
      </c>
      <c r="G7" s="129">
        <f>'Category sub-totals'!B10</f>
        <v>28595</v>
      </c>
      <c r="H7" s="129">
        <f>'Category sub-totals'!B11</f>
        <v>4256.300249999999</v>
      </c>
      <c r="I7" s="129">
        <f>'Category sub-totals'!B12</f>
        <v>11000.7</v>
      </c>
      <c r="J7" s="129">
        <f>'Category sub-totals'!B13</f>
        <v>0</v>
      </c>
      <c r="K7" s="129">
        <f>'Category sub-totals'!B14</f>
        <v>0</v>
      </c>
      <c r="L7" s="129">
        <f>'Category sub-totals'!B15</f>
        <v>40060.455</v>
      </c>
      <c r="M7" s="129">
        <f>'Category sub-totals'!B16</f>
        <v>0</v>
      </c>
      <c r="N7" s="33"/>
      <c r="O7" s="33"/>
      <c r="P7" s="33"/>
    </row>
    <row r="8" spans="1:16" ht="15">
      <c r="A8" s="114" t="s">
        <v>58</v>
      </c>
      <c r="B8" s="129">
        <f>'Category sub-totals'!D5</f>
        <v>0</v>
      </c>
      <c r="C8" s="129">
        <f>'Category sub-totals'!D6</f>
        <v>80761</v>
      </c>
      <c r="D8" s="129">
        <f>'Category sub-totals'!D7</f>
        <v>0</v>
      </c>
      <c r="E8" s="129">
        <f>'Category sub-totals'!D8</f>
        <v>0</v>
      </c>
      <c r="F8" s="129">
        <f>'Category sub-totals'!D9</f>
        <v>0</v>
      </c>
      <c r="G8" s="129">
        <f>'Category sub-totals'!D10</f>
        <v>0</v>
      </c>
      <c r="H8" s="129">
        <f>'Category sub-totals'!D11</f>
        <v>0</v>
      </c>
      <c r="I8" s="129">
        <f>'Category sub-totals'!D12</f>
        <v>0</v>
      </c>
      <c r="J8" s="129">
        <f>'Category sub-totals'!D13</f>
        <v>0</v>
      </c>
      <c r="K8" s="129">
        <f>'Category sub-totals'!D14</f>
        <v>344000</v>
      </c>
      <c r="L8" s="129">
        <f>'Category sub-totals'!D15-'Category sub-totals'!D15</f>
        <v>0</v>
      </c>
      <c r="M8" s="129">
        <f>'Category sub-totals'!D16</f>
        <v>0</v>
      </c>
      <c r="N8" s="129">
        <f>'Category sub-totals'!D17</f>
        <v>71875</v>
      </c>
      <c r="O8" s="129">
        <f>'Category sub-totals'!D18</f>
        <v>0</v>
      </c>
      <c r="P8" s="129">
        <f>'Category sub-totals'!D19</f>
        <v>0</v>
      </c>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PERONI Jimena</cp:lastModifiedBy>
  <dcterms:created xsi:type="dcterms:W3CDTF">2018-12-06T13:41:22Z</dcterms:created>
  <dcterms:modified xsi:type="dcterms:W3CDTF">2019-03-19T10:13:44Z</dcterms:modified>
  <cp:category/>
  <cp:version/>
  <cp:contentType/>
  <cp:contentStatus/>
</cp:coreProperties>
</file>